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15" yWindow="65521" windowWidth="4440" windowHeight="10680" activeTab="0"/>
  </bookViews>
  <sheets>
    <sheet name="Title page" sheetId="1" r:id="rId1"/>
    <sheet name="Econ Impact Summary" sheetId="2" r:id="rId2"/>
    <sheet name="Farm and Buffer Assumptions" sheetId="3" r:id="rId3"/>
    <sheet name="Buffer input prices" sheetId="4" r:id="rId4"/>
    <sheet name="Input list &amp; prices" sheetId="5" r:id="rId5"/>
    <sheet name="Raspberry Establishment, Year 1" sheetId="6" r:id="rId6"/>
    <sheet name="Raspberry Establishment, Year 2" sheetId="7" r:id="rId7"/>
    <sheet name="Raspberries, Year 3+" sheetId="8" r:id="rId8"/>
    <sheet name="Acreage Allocation" sheetId="9" r:id="rId9"/>
    <sheet name="Equipment and Investment" sheetId="10" r:id="rId10"/>
    <sheet name="Annual Budget w.o. Buffer" sheetId="11" r:id="rId11"/>
    <sheet name="Annual Budget w. Buffer" sheetId="12" r:id="rId12"/>
    <sheet name="Buffer Builder" sheetId="13" r:id="rId13"/>
    <sheet name="Buffer Budgets" sheetId="14" r:id="rId14"/>
    <sheet name="Buffer Harvest Sched" sheetId="15" r:id="rId15"/>
    <sheet name="Notes" sheetId="16" r:id="rId16"/>
  </sheets>
  <externalReferences>
    <externalReference r:id="rId19"/>
  </externalReferences>
  <definedNames>
    <definedName name="Diesel">'[1]Input list &amp; prices'!$E$11</definedName>
    <definedName name="Gas">'[1]Input list &amp; prices'!$E$10</definedName>
    <definedName name="Input_list">'Input list &amp; prices'!$C$7:$C$129</definedName>
    <definedName name="Input_lookup">'Input list &amp; prices'!$C$7:$E$129</definedName>
    <definedName name="_xlnm.Print_Area" localSheetId="13">'Buffer Budgets'!$A$111:$H$138</definedName>
    <definedName name="_xlnm.Print_Area" localSheetId="12">'Buffer Builder'!$A$1:$D$145</definedName>
    <definedName name="_xlnm.Print_Area" localSheetId="3">'Buffer input prices'!$B$1:$G$53</definedName>
    <definedName name="_xlnm.Print_Area" localSheetId="1">'Econ Impact Summary'!$A$1:$R$42</definedName>
    <definedName name="_xlnm.Print_Area" localSheetId="9">'Equipment and Investment'!$B$94:$M$96</definedName>
    <definedName name="_xlnm.Print_Area" localSheetId="2">'Farm and Buffer Assumptions'!$B$1:$E$76</definedName>
    <definedName name="_xlnm.Print_Area" localSheetId="0">'Title page'!$A$1:$A$34</definedName>
    <definedName name="Year1_inputs" localSheetId="9">#REF!</definedName>
    <definedName name="Year1_inputs">'Raspberry Establishment, Year 1'!$C$11:$C$32</definedName>
    <definedName name="Year1_quantities" localSheetId="9">#REF!</definedName>
    <definedName name="Year1_quantities">'Raspberry Establishment, Year 1'!$E$11:$E$32</definedName>
    <definedName name="Z_6A71A50D_04D3_4999_951D_FB2062AD4EF5_.wvu.PrintArea" localSheetId="13" hidden="1">'Buffer Budgets'!$A$111:$H$138</definedName>
    <definedName name="Z_6A71A50D_04D3_4999_951D_FB2062AD4EF5_.wvu.PrintArea" localSheetId="12" hidden="1">'Buffer Builder'!$A$1:$D$145</definedName>
    <definedName name="Z_6A71A50D_04D3_4999_951D_FB2062AD4EF5_.wvu.PrintArea" localSheetId="3" hidden="1">'Buffer input prices'!$B$1:$G$53</definedName>
    <definedName name="Z_6A71A50D_04D3_4999_951D_FB2062AD4EF5_.wvu.PrintArea" localSheetId="1" hidden="1">'Econ Impact Summary'!$A$1:$H$35</definedName>
    <definedName name="Z_6A71A50D_04D3_4999_951D_FB2062AD4EF5_.wvu.PrintArea" localSheetId="9" hidden="1">'Equipment and Investment'!$B$94:$M$96</definedName>
    <definedName name="Z_6A71A50D_04D3_4999_951D_FB2062AD4EF5_.wvu.PrintArea" localSheetId="2" hidden="1">'Farm and Buffer Assumptions'!$B$1:$E$76</definedName>
    <definedName name="Z_6A71A50D_04D3_4999_951D_FB2062AD4EF5_.wvu.PrintArea" localSheetId="0" hidden="1">'Title page'!$A$1:$A$34</definedName>
  </definedNames>
  <calcPr fullCalcOnLoad="1"/>
</workbook>
</file>

<file path=xl/comments10.xml><?xml version="1.0" encoding="utf-8"?>
<comments xmlns="http://schemas.openxmlformats.org/spreadsheetml/2006/main">
  <authors>
    <author>carolyn henri</author>
    <author>Carolyn J. Henri</author>
  </authors>
  <commentList>
    <comment ref="E4" authorId="0">
      <text>
        <r>
          <rPr>
            <b/>
            <sz val="8"/>
            <rFont val="Tahoma"/>
            <family val="0"/>
          </rPr>
          <t xml:space="preserve">Carolyn Henri:
</t>
        </r>
        <r>
          <rPr>
            <sz val="8"/>
            <rFont val="Tahoma"/>
            <family val="2"/>
          </rPr>
          <t>MV= (Purchase Price + Salvage Value)/2.  Referred to as the remaining on-farm value (RVF) in Smathers, 2001.</t>
        </r>
      </text>
    </comment>
    <comment ref="K4" authorId="0">
      <text>
        <r>
          <rPr>
            <b/>
            <sz val="8"/>
            <rFont val="Tahoma"/>
            <family val="0"/>
          </rPr>
          <t xml:space="preserve">Carolyn Henri:
</t>
        </r>
        <r>
          <rPr>
            <sz val="8"/>
            <rFont val="Tahoma"/>
            <family val="2"/>
          </rPr>
          <t>Annual insurance expense = Market Value x Insurance rate indicated in farm assumptions worksheet</t>
        </r>
      </text>
    </comment>
    <comment ref="F4" authorId="1">
      <text>
        <r>
          <rPr>
            <b/>
            <sz val="8"/>
            <rFont val="Tahoma"/>
            <family val="0"/>
          </rPr>
          <t>Carolyn J. Henri:</t>
        </r>
        <r>
          <rPr>
            <sz val="8"/>
            <rFont val="Tahoma"/>
            <family val="0"/>
          </rPr>
          <t xml:space="preserve">
Salvage value = % of value remaining at the end of the machine's life.  Factors used to calculate this figure are from Smathers, 2001.
</t>
        </r>
      </text>
    </comment>
    <comment ref="G4" authorId="1">
      <text>
        <r>
          <rPr>
            <b/>
            <sz val="8"/>
            <rFont val="Tahoma"/>
            <family val="0"/>
          </rPr>
          <t>Carolyn J. Henri:</t>
        </r>
        <r>
          <rPr>
            <sz val="8"/>
            <rFont val="Tahoma"/>
            <family val="0"/>
          </rPr>
          <t xml:space="preserve">
From Smathers, 2001 "Cost of owning and operating farm machinery in the Pacific Northwest: 2000"</t>
        </r>
      </text>
    </comment>
    <comment ref="M4" authorId="0">
      <text>
        <r>
          <rPr>
            <b/>
            <sz val="8"/>
            <rFont val="Tahoma"/>
            <family val="0"/>
          </rPr>
          <t xml:space="preserve">Carolyn Henri:
</t>
        </r>
        <r>
          <rPr>
            <sz val="8"/>
            <rFont val="Tahoma"/>
            <family val="2"/>
          </rPr>
          <t>Taxes = Market Value x Property Tax Rate (from Assumptions worksheet)</t>
        </r>
        <r>
          <rPr>
            <b/>
            <sz val="8"/>
            <rFont val="Tahoma"/>
            <family val="0"/>
          </rPr>
          <t xml:space="preserve">
</t>
        </r>
      </text>
    </comment>
    <comment ref="L4"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G72" authorId="1">
      <text>
        <r>
          <rPr>
            <b/>
            <sz val="8"/>
            <rFont val="Tahoma"/>
            <family val="0"/>
          </rPr>
          <t>Carolyn J. Henri:</t>
        </r>
        <r>
          <rPr>
            <sz val="8"/>
            <rFont val="Tahoma"/>
            <family val="0"/>
          </rPr>
          <t xml:space="preserve">
From Smathers, 2001 "Cost of owning and operating farm machinery in the Pacific Northwest: 2000"</t>
        </r>
      </text>
    </comment>
    <comment ref="E72" authorId="0">
      <text>
        <r>
          <rPr>
            <b/>
            <sz val="8"/>
            <rFont val="Tahoma"/>
            <family val="0"/>
          </rPr>
          <t>Carolyn Henri:
MV= (Purchase Price + Salvage Value)/2.  Referred to as the remaining on-farm value (RVF) in Smathers, 2001.</t>
        </r>
      </text>
    </comment>
    <comment ref="F72" authorId="1">
      <text>
        <r>
          <rPr>
            <b/>
            <sz val="8"/>
            <rFont val="Tahoma"/>
            <family val="0"/>
          </rPr>
          <t>Carolyn J. Henri:</t>
        </r>
        <r>
          <rPr>
            <sz val="8"/>
            <rFont val="Tahoma"/>
            <family val="0"/>
          </rPr>
          <t xml:space="preserve">
Salvage value = % of value remaining at the end of the machine's life.  Factors used to calculate this figure are from Smathers, 2001.
</t>
        </r>
      </text>
    </comment>
    <comment ref="J3" authorId="1">
      <text>
        <r>
          <rPr>
            <b/>
            <sz val="8"/>
            <rFont val="Tahoma"/>
            <family val="0"/>
          </rPr>
          <t>Carolyn J. Henri:</t>
        </r>
        <r>
          <rPr>
            <sz val="8"/>
            <rFont val="Tahoma"/>
            <family val="0"/>
          </rPr>
          <t xml:space="preserve">
These are annual fixed costs to operate the equipment on the farm.  Not all of this cost is allocated to one enterprise, but is spread among the enterprises in which the machine or equipment is used.</t>
        </r>
      </text>
    </comment>
    <comment ref="L84" authorId="0">
      <text>
        <r>
          <rPr>
            <b/>
            <sz val="8"/>
            <rFont val="Tahoma"/>
            <family val="0"/>
          </rPr>
          <t xml:space="preserve">Carolyn henri:
Cost associated with ownership and use of a machine shed.  Housing = Market Value x housing factor from Table 2 in Smathers, 2001.
</t>
        </r>
      </text>
    </comment>
    <comment ref="O4" authorId="0">
      <text>
        <r>
          <rPr>
            <b/>
            <sz val="8"/>
            <rFont val="Tahoma"/>
            <family val="0"/>
          </rPr>
          <t xml:space="preserve">Carolyn Henri:
</t>
        </r>
        <r>
          <rPr>
            <sz val="8"/>
            <rFont val="Tahoma"/>
            <family val="2"/>
          </rPr>
          <t>Annual insurance expense = Market Value x Insurance rate indicated in farm assumptions worksheet</t>
        </r>
      </text>
    </comment>
    <comment ref="P4"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Q4" authorId="0">
      <text>
        <r>
          <rPr>
            <b/>
            <sz val="8"/>
            <rFont val="Tahoma"/>
            <family val="0"/>
          </rPr>
          <t xml:space="preserve">Carolyn Henri:
</t>
        </r>
        <r>
          <rPr>
            <sz val="8"/>
            <rFont val="Tahoma"/>
            <family val="2"/>
          </rPr>
          <t xml:space="preserve">Taxes = Market Value x Property Tax Rate (from Assumptions worksheet)
</t>
        </r>
      </text>
    </comment>
    <comment ref="N3" authorId="1">
      <text>
        <r>
          <rPr>
            <b/>
            <sz val="8"/>
            <rFont val="Tahoma"/>
            <family val="0"/>
          </rPr>
          <t>Carolyn J. Henri:</t>
        </r>
        <r>
          <rPr>
            <sz val="8"/>
            <rFont val="Tahoma"/>
            <family val="0"/>
          </rPr>
          <t xml:space="preserve">
These are annual fixed costs to operate the equipment on the farm.  Not all of this cost is allocated to one enterprise, but is spread among the enterprises in which the machine or equipment is used.</t>
        </r>
      </text>
    </comment>
    <comment ref="Q90" authorId="1">
      <text>
        <r>
          <rPr>
            <b/>
            <sz val="8"/>
            <rFont val="Tahoma"/>
            <family val="0"/>
          </rPr>
          <t>Carolyn J. Henri:</t>
        </r>
        <r>
          <rPr>
            <sz val="8"/>
            <rFont val="Tahoma"/>
            <family val="0"/>
          </rPr>
          <t xml:space="preserve">
 Land tax calculation: # of acres X assessed value per acre x county property tax rate.</t>
        </r>
      </text>
    </comment>
    <comment ref="J4" authorId="0">
      <text>
        <r>
          <rPr>
            <b/>
            <sz val="8"/>
            <rFont val="Tahoma"/>
            <family val="0"/>
          </rPr>
          <t xml:space="preserve">Carolyn Henri:
</t>
        </r>
        <r>
          <rPr>
            <sz val="8"/>
            <rFont val="Tahoma"/>
            <family val="2"/>
          </rPr>
          <t xml:space="preserve">Capital recovery includes depreciation and interest (opportunity cost), and is calculated using the appropriate equation from the AAEA Commodity Costs and Returns Handbook.
</t>
        </r>
        <r>
          <rPr>
            <u val="single"/>
            <sz val="8"/>
            <rFont val="Tahoma"/>
            <family val="2"/>
          </rPr>
          <t>(Purchase Price - Salvage Value) x interest rate</t>
        </r>
        <r>
          <rPr>
            <sz val="8"/>
            <rFont val="Tahoma"/>
            <family val="2"/>
          </rPr>
          <t xml:space="preserve">    + Salvage Value x interest rate
1 - (1+ interest rate)</t>
        </r>
        <r>
          <rPr>
            <vertAlign val="superscript"/>
            <sz val="8"/>
            <rFont val="Tahoma"/>
            <family val="2"/>
          </rPr>
          <t xml:space="preserve">-n
</t>
        </r>
        <r>
          <rPr>
            <sz val="8"/>
            <rFont val="Tahoma"/>
            <family val="2"/>
          </rPr>
          <t>n= useful life in years.</t>
        </r>
      </text>
    </comment>
    <comment ref="D90" authorId="1">
      <text>
        <r>
          <rPr>
            <sz val="8"/>
            <rFont val="Tahoma"/>
            <family val="0"/>
          </rPr>
          <t xml:space="preserve">
Enter the purchase price of your property</t>
        </r>
      </text>
    </comment>
    <comment ref="E90" authorId="1">
      <text>
        <r>
          <rPr>
            <sz val="8"/>
            <rFont val="Tahoma"/>
            <family val="0"/>
          </rPr>
          <t xml:space="preserve">
This is market value as agricultural land, not as developable land</t>
        </r>
      </text>
    </comment>
    <comment ref="M90" authorId="1">
      <text>
        <r>
          <rPr>
            <b/>
            <sz val="8"/>
            <rFont val="Tahoma"/>
            <family val="0"/>
          </rPr>
          <t>Carolyn J. Henri:</t>
        </r>
        <r>
          <rPr>
            <sz val="8"/>
            <rFont val="Tahoma"/>
            <family val="0"/>
          </rPr>
          <t xml:space="preserve">
Number of acres x assessed value per acre x property tax rate</t>
        </r>
      </text>
    </comment>
    <comment ref="N90" authorId="1">
      <text>
        <r>
          <rPr>
            <sz val="8"/>
            <rFont val="Tahoma"/>
            <family val="0"/>
          </rPr>
          <t xml:space="preserve">
Market value of the land x interest rate x % allocated to this enterprise</t>
        </r>
      </text>
    </comment>
    <comment ref="B1" authorId="1">
      <text>
        <r>
          <rPr>
            <sz val="8"/>
            <rFont val="Tahoma"/>
            <family val="0"/>
          </rPr>
          <t xml:space="preserve">
Includes machinery, equipment, vehicles and buildings.  This can be your complete machine inventory for the entire farm.  However, if you have more than just raspberry production on the farm, you should only allocate a portion of the machine expenses to the raspberry operation.  Machines that are not used at all in raspberry production should be given a fixed cost allocation of 0% (see column I).</t>
        </r>
      </text>
    </comment>
    <comment ref="H4" authorId="1">
      <text>
        <r>
          <rPr>
            <sz val="8"/>
            <rFont val="Tahoma"/>
            <family val="0"/>
          </rPr>
          <t xml:space="preserve">
Enter the appropriate numbers for your enterprise.  If the exact number of hours is not known, use an estimate.
</t>
        </r>
      </text>
    </comment>
    <comment ref="R4" authorId="1">
      <text>
        <r>
          <rPr>
            <b/>
            <sz val="8"/>
            <rFont val="Tahoma"/>
            <family val="0"/>
          </rPr>
          <t>Carolyn J. Henri:</t>
        </r>
        <r>
          <rPr>
            <sz val="8"/>
            <rFont val="Tahoma"/>
            <family val="0"/>
          </rPr>
          <t xml:space="preserve">
Includes parts and  labor for repairs and  maintenance.</t>
        </r>
      </text>
    </comment>
    <comment ref="T4" authorId="1">
      <text>
        <r>
          <rPr>
            <b/>
            <sz val="8"/>
            <rFont val="Tahoma"/>
            <family val="0"/>
          </rPr>
          <t>Carolyn J. Henri:</t>
        </r>
        <r>
          <rPr>
            <sz val="8"/>
            <rFont val="Tahoma"/>
            <family val="0"/>
          </rPr>
          <t xml:space="preserve">
Fuel consumption calculation comes from Smathers, 2001, pg. 5 (See full reference at bottom of spreadsheet).  Lubrication is estimated at 15% of fuel costs (also from Smathers, 2001).</t>
        </r>
      </text>
    </comment>
    <comment ref="J72" authorId="0">
      <text>
        <r>
          <rPr>
            <b/>
            <sz val="8"/>
            <rFont val="Tahoma"/>
            <family val="0"/>
          </rPr>
          <t xml:space="preserve">Carolyn Henri:
</t>
        </r>
        <r>
          <rPr>
            <sz val="8"/>
            <rFont val="Tahoma"/>
            <family val="2"/>
          </rPr>
          <t xml:space="preserve">Capital recovery includes depreciation and interest (opportunity cost), and is calculated using the appropriate equation from the AAEA Commodity Costs and Returns Handbook.
</t>
        </r>
        <r>
          <rPr>
            <u val="single"/>
            <sz val="8"/>
            <rFont val="Tahoma"/>
            <family val="2"/>
          </rPr>
          <t>(Purchase Price - Salvage Value) x interest rate</t>
        </r>
        <r>
          <rPr>
            <sz val="8"/>
            <rFont val="Tahoma"/>
            <family val="2"/>
          </rPr>
          <t xml:space="preserve">    + Salvage Value x interest rate
1 - (1+ interest rate)</t>
        </r>
        <r>
          <rPr>
            <vertAlign val="superscript"/>
            <sz val="10"/>
            <rFont val="Tahoma"/>
            <family val="2"/>
          </rPr>
          <t xml:space="preserve">-n
</t>
        </r>
        <r>
          <rPr>
            <sz val="10"/>
            <rFont val="Tahoma"/>
            <family val="2"/>
          </rPr>
          <t>n= useful life in years.</t>
        </r>
      </text>
    </comment>
    <comment ref="K72" authorId="0">
      <text>
        <r>
          <rPr>
            <b/>
            <sz val="8"/>
            <rFont val="Tahoma"/>
            <family val="0"/>
          </rPr>
          <t xml:space="preserve">Carolyn Henri:
</t>
        </r>
        <r>
          <rPr>
            <sz val="8"/>
            <rFont val="Tahoma"/>
            <family val="2"/>
          </rPr>
          <t>Annual insurance expense = Market Value x Insurance rate indicated in farm assumptions worksheet</t>
        </r>
      </text>
    </comment>
    <comment ref="L72"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M72" authorId="0">
      <text>
        <r>
          <rPr>
            <b/>
            <sz val="8"/>
            <rFont val="Tahoma"/>
            <family val="0"/>
          </rPr>
          <t xml:space="preserve">Carolyn Henri:
</t>
        </r>
        <r>
          <rPr>
            <sz val="8"/>
            <rFont val="Tahoma"/>
            <family val="2"/>
          </rPr>
          <t>Taxes = Market Value x Property Tax Rate (from Assumptions worksheet)</t>
        </r>
        <r>
          <rPr>
            <b/>
            <sz val="8"/>
            <rFont val="Tahoma"/>
            <family val="0"/>
          </rPr>
          <t xml:space="preserve">
</t>
        </r>
      </text>
    </comment>
    <comment ref="O72" authorId="0">
      <text>
        <r>
          <rPr>
            <b/>
            <sz val="8"/>
            <rFont val="Tahoma"/>
            <family val="0"/>
          </rPr>
          <t xml:space="preserve">Carolyn Henri:
</t>
        </r>
        <r>
          <rPr>
            <sz val="8"/>
            <rFont val="Tahoma"/>
            <family val="2"/>
          </rPr>
          <t>Annual insurance expense = Market Value x Insurance rate indicated in farm assumptions worksheet</t>
        </r>
      </text>
    </comment>
    <comment ref="T72" authorId="1">
      <text>
        <r>
          <rPr>
            <b/>
            <sz val="8"/>
            <rFont val="Tahoma"/>
            <family val="0"/>
          </rPr>
          <t>Carolyn J. Henri:</t>
        </r>
        <r>
          <rPr>
            <sz val="8"/>
            <rFont val="Tahoma"/>
            <family val="0"/>
          </rPr>
          <t xml:space="preserve">
Fuel consumption calculation comes from Smathers, 2001, pg. 5 (See full reference at bottom of spreadsheet).  Lubrication is estimated at 15% of fuel costs (also from Smathers, 2001).</t>
        </r>
      </text>
    </comment>
    <comment ref="E84" authorId="0">
      <text>
        <r>
          <rPr>
            <b/>
            <sz val="8"/>
            <rFont val="Tahoma"/>
            <family val="0"/>
          </rPr>
          <t xml:space="preserve">Carolyn Henri:
</t>
        </r>
        <r>
          <rPr>
            <sz val="8"/>
            <rFont val="Tahoma"/>
            <family val="2"/>
          </rPr>
          <t>MV= (Purchase Price + Salvage Value)/2.  Referred to as the remaining on-farm value (RVF) in Smathers, 2001.</t>
        </r>
      </text>
    </comment>
    <comment ref="F84" authorId="1">
      <text>
        <r>
          <rPr>
            <b/>
            <sz val="8"/>
            <rFont val="Tahoma"/>
            <family val="0"/>
          </rPr>
          <t>Carolyn J. Henri:</t>
        </r>
        <r>
          <rPr>
            <sz val="8"/>
            <rFont val="Tahoma"/>
            <family val="0"/>
          </rPr>
          <t xml:space="preserve">
Salvage value = % of value remaining at the end of the machine's life.  Factors used to calculate this figure are from Smathers, 2001.
</t>
        </r>
      </text>
    </comment>
    <comment ref="M84" authorId="0">
      <text>
        <r>
          <rPr>
            <b/>
            <sz val="8"/>
            <rFont val="Tahoma"/>
            <family val="0"/>
          </rPr>
          <t xml:space="preserve">Carolyn Henri:
</t>
        </r>
        <r>
          <rPr>
            <sz val="8"/>
            <rFont val="Tahoma"/>
            <family val="2"/>
          </rPr>
          <t>Taxes = Market Value x Property Tax Rate (from Assumptions worksheet)</t>
        </r>
        <r>
          <rPr>
            <b/>
            <sz val="8"/>
            <rFont val="Tahoma"/>
            <family val="0"/>
          </rPr>
          <t xml:space="preserve">
</t>
        </r>
      </text>
    </comment>
    <comment ref="E66" authorId="0">
      <text>
        <r>
          <rPr>
            <b/>
            <sz val="8"/>
            <rFont val="Tahoma"/>
            <family val="0"/>
          </rPr>
          <t xml:space="preserve">Carolyn Henri:
</t>
        </r>
        <r>
          <rPr>
            <sz val="8"/>
            <rFont val="Tahoma"/>
            <family val="2"/>
          </rPr>
          <t>MV= (Purchase Price + Salvage Value)/2.  Referred to as the remaining on-farm value (RVF) in Smathers, 2001.</t>
        </r>
      </text>
    </comment>
    <comment ref="F66" authorId="1">
      <text>
        <r>
          <rPr>
            <b/>
            <sz val="8"/>
            <rFont val="Tahoma"/>
            <family val="0"/>
          </rPr>
          <t>Carolyn J. Henri:</t>
        </r>
        <r>
          <rPr>
            <sz val="8"/>
            <rFont val="Tahoma"/>
            <family val="0"/>
          </rPr>
          <t xml:space="preserve">
Salvage value = % of value remaining at the end of the machine's life.  Factors used to calculate this figure are from Smathers, 2001.
</t>
        </r>
      </text>
    </comment>
    <comment ref="G66" authorId="1">
      <text>
        <r>
          <rPr>
            <b/>
            <sz val="8"/>
            <rFont val="Tahoma"/>
            <family val="0"/>
          </rPr>
          <t>Carolyn J. Henri:</t>
        </r>
        <r>
          <rPr>
            <sz val="8"/>
            <rFont val="Tahoma"/>
            <family val="0"/>
          </rPr>
          <t xml:space="preserve">
From Smathers, 2001 "Cost of owning and operating farm machinery in the Pacific Northwest: 2000"</t>
        </r>
      </text>
    </comment>
    <comment ref="H66" authorId="1">
      <text>
        <r>
          <rPr>
            <sz val="8"/>
            <rFont val="Tahoma"/>
            <family val="0"/>
          </rPr>
          <t xml:space="preserve">
Enter the appropriate numbers for your enterprise.  If the exact number of hours is not known, use an estimate.
</t>
        </r>
      </text>
    </comment>
    <comment ref="J66" authorId="0">
      <text>
        <r>
          <rPr>
            <b/>
            <sz val="8"/>
            <rFont val="Tahoma"/>
            <family val="0"/>
          </rPr>
          <t xml:space="preserve">Carolyn Henri:
</t>
        </r>
        <r>
          <rPr>
            <sz val="8"/>
            <rFont val="Tahoma"/>
            <family val="2"/>
          </rPr>
          <t xml:space="preserve">Capital recovery includes depreciation and interest (opportunity cost), and is calculated using the appropriate equation from the AAEA Commodity Costs and Returns Handbook.
</t>
        </r>
        <r>
          <rPr>
            <u val="single"/>
            <sz val="8"/>
            <rFont val="Tahoma"/>
            <family val="2"/>
          </rPr>
          <t>(Purchase Price - Salvage Value) x interest rate</t>
        </r>
        <r>
          <rPr>
            <sz val="8"/>
            <rFont val="Tahoma"/>
            <family val="2"/>
          </rPr>
          <t xml:space="preserve">    + Salvage Value x interest rate
1 - (1+ interest rate)</t>
        </r>
        <r>
          <rPr>
            <vertAlign val="superscript"/>
            <sz val="8"/>
            <rFont val="Tahoma"/>
            <family val="2"/>
          </rPr>
          <t xml:space="preserve">-n
</t>
        </r>
        <r>
          <rPr>
            <sz val="8"/>
            <rFont val="Tahoma"/>
            <family val="2"/>
          </rPr>
          <t>n= useful life in years.</t>
        </r>
      </text>
    </comment>
    <comment ref="K66" authorId="0">
      <text>
        <r>
          <rPr>
            <b/>
            <sz val="8"/>
            <rFont val="Tahoma"/>
            <family val="0"/>
          </rPr>
          <t xml:space="preserve">Carolyn Henri:
</t>
        </r>
        <r>
          <rPr>
            <sz val="8"/>
            <rFont val="Tahoma"/>
            <family val="2"/>
          </rPr>
          <t>Annual insurance expense = Market Value x Insurance rate indicated in farm assumptions worksheet</t>
        </r>
      </text>
    </comment>
    <comment ref="L66"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M66" authorId="0">
      <text>
        <r>
          <rPr>
            <b/>
            <sz val="8"/>
            <rFont val="Tahoma"/>
            <family val="0"/>
          </rPr>
          <t xml:space="preserve">Carolyn Henri:
</t>
        </r>
        <r>
          <rPr>
            <sz val="8"/>
            <rFont val="Tahoma"/>
            <family val="2"/>
          </rPr>
          <t>Taxes = Market Value x Property Tax Rate (from Assumptions worksheet)</t>
        </r>
        <r>
          <rPr>
            <b/>
            <sz val="8"/>
            <rFont val="Tahoma"/>
            <family val="0"/>
          </rPr>
          <t xml:space="preserve">
</t>
        </r>
      </text>
    </comment>
    <comment ref="O66" authorId="0">
      <text>
        <r>
          <rPr>
            <b/>
            <sz val="8"/>
            <rFont val="Tahoma"/>
            <family val="0"/>
          </rPr>
          <t xml:space="preserve">Carolyn Henri:
</t>
        </r>
        <r>
          <rPr>
            <sz val="8"/>
            <rFont val="Tahoma"/>
            <family val="2"/>
          </rPr>
          <t>Annual insurance expense = Market Value x Insurance rate indicated in farm assumptions worksheet</t>
        </r>
      </text>
    </comment>
    <comment ref="P66"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Q66" authorId="0">
      <text>
        <r>
          <rPr>
            <b/>
            <sz val="8"/>
            <rFont val="Tahoma"/>
            <family val="0"/>
          </rPr>
          <t xml:space="preserve">Carolyn Henri:
</t>
        </r>
        <r>
          <rPr>
            <sz val="8"/>
            <rFont val="Tahoma"/>
            <family val="2"/>
          </rPr>
          <t xml:space="preserve">Taxes = Market Value x Property Tax Rate (from Assumptions worksheet)
</t>
        </r>
      </text>
    </comment>
    <comment ref="R66" authorId="1">
      <text>
        <r>
          <rPr>
            <b/>
            <sz val="8"/>
            <rFont val="Tahoma"/>
            <family val="0"/>
          </rPr>
          <t>Carolyn J. Henri:</t>
        </r>
        <r>
          <rPr>
            <sz val="8"/>
            <rFont val="Tahoma"/>
            <family val="0"/>
          </rPr>
          <t xml:space="preserve">
Includes parts and  labor for repairs and  maintenance.</t>
        </r>
      </text>
    </comment>
    <comment ref="P72"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Q72" authorId="0">
      <text>
        <r>
          <rPr>
            <b/>
            <sz val="8"/>
            <rFont val="Tahoma"/>
            <family val="0"/>
          </rPr>
          <t xml:space="preserve">Carolyn Henri:
</t>
        </r>
        <r>
          <rPr>
            <sz val="8"/>
            <rFont val="Tahoma"/>
            <family val="2"/>
          </rPr>
          <t xml:space="preserve">Taxes = Market Value x Property Tax Rate (from Assumptions worksheet)
</t>
        </r>
      </text>
    </comment>
    <comment ref="R72" authorId="1">
      <text>
        <r>
          <rPr>
            <b/>
            <sz val="8"/>
            <rFont val="Tahoma"/>
            <family val="0"/>
          </rPr>
          <t>Carolyn J. Henri:</t>
        </r>
        <r>
          <rPr>
            <sz val="8"/>
            <rFont val="Tahoma"/>
            <family val="0"/>
          </rPr>
          <t xml:space="preserve">
Includes parts and  labor for repairs and  maintenance.</t>
        </r>
      </text>
    </comment>
    <comment ref="O84" authorId="0">
      <text>
        <r>
          <rPr>
            <b/>
            <sz val="8"/>
            <rFont val="Tahoma"/>
            <family val="0"/>
          </rPr>
          <t xml:space="preserve">Carolyn Henri:
</t>
        </r>
        <r>
          <rPr>
            <sz val="8"/>
            <rFont val="Tahoma"/>
            <family val="2"/>
          </rPr>
          <t>Annual insurance expense = Market Value x Insurance rate indicated in farm assumptions worksheet</t>
        </r>
      </text>
    </comment>
    <comment ref="P84"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Q84" authorId="0">
      <text>
        <r>
          <rPr>
            <b/>
            <sz val="8"/>
            <rFont val="Tahoma"/>
            <family val="0"/>
          </rPr>
          <t xml:space="preserve">Carolyn Henri:
</t>
        </r>
        <r>
          <rPr>
            <sz val="8"/>
            <rFont val="Tahoma"/>
            <family val="2"/>
          </rPr>
          <t xml:space="preserve">Taxes = Market Value x Property Tax Rate (from Assumptions worksheet)
</t>
        </r>
      </text>
    </comment>
    <comment ref="G84" authorId="1">
      <text>
        <r>
          <rPr>
            <b/>
            <sz val="8"/>
            <rFont val="Tahoma"/>
            <family val="0"/>
          </rPr>
          <t>Carolyn J. Henri:</t>
        </r>
        <r>
          <rPr>
            <sz val="8"/>
            <rFont val="Tahoma"/>
            <family val="0"/>
          </rPr>
          <t xml:space="preserve">
From Smathers, 2001 "Cost of owning and operating farm machinery in the Pacific Northwest: 2000"</t>
        </r>
      </text>
    </comment>
    <comment ref="H84" authorId="1">
      <text>
        <r>
          <rPr>
            <sz val="8"/>
            <rFont val="Tahoma"/>
            <family val="0"/>
          </rPr>
          <t xml:space="preserve">
Enter the appropriate numbers for your enterprise.  If the exact number of hours is not known, use an estimate.
</t>
        </r>
      </text>
    </comment>
    <comment ref="J84" authorId="0">
      <text>
        <r>
          <rPr>
            <b/>
            <sz val="8"/>
            <rFont val="Tahoma"/>
            <family val="0"/>
          </rPr>
          <t xml:space="preserve">Carolyn Henri:
</t>
        </r>
        <r>
          <rPr>
            <sz val="8"/>
            <rFont val="Tahoma"/>
            <family val="2"/>
          </rPr>
          <t xml:space="preserve">Capital recovery includes depreciation and interest (opportunity cost), and is calculated using the appropriate equation from the AAEA Commodity Costs and Returns Handbook.
</t>
        </r>
        <r>
          <rPr>
            <u val="single"/>
            <sz val="8"/>
            <rFont val="Tahoma"/>
            <family val="2"/>
          </rPr>
          <t>(Purchase Price - Salvage Value) x interest rate</t>
        </r>
        <r>
          <rPr>
            <sz val="8"/>
            <rFont val="Tahoma"/>
            <family val="2"/>
          </rPr>
          <t xml:space="preserve">    + Salvage Value x interest rate
1 - (1+ interest rate)</t>
        </r>
        <r>
          <rPr>
            <vertAlign val="superscript"/>
            <sz val="8"/>
            <rFont val="Tahoma"/>
            <family val="2"/>
          </rPr>
          <t xml:space="preserve">-n
</t>
        </r>
        <r>
          <rPr>
            <sz val="8"/>
            <rFont val="Tahoma"/>
            <family val="2"/>
          </rPr>
          <t>n= useful life in years.</t>
        </r>
      </text>
    </comment>
    <comment ref="K84" authorId="0">
      <text>
        <r>
          <rPr>
            <b/>
            <sz val="8"/>
            <rFont val="Tahoma"/>
            <family val="0"/>
          </rPr>
          <t xml:space="preserve">Carolyn Henri:
</t>
        </r>
        <r>
          <rPr>
            <sz val="8"/>
            <rFont val="Tahoma"/>
            <family val="2"/>
          </rPr>
          <t>Annual insurance expense = Market Value x Insurance rate indicated in farm assumptions worksheet</t>
        </r>
      </text>
    </comment>
  </commentList>
</comments>
</file>

<file path=xl/comments11.xml><?xml version="1.0" encoding="utf-8"?>
<comments xmlns="http://schemas.openxmlformats.org/spreadsheetml/2006/main">
  <authors>
    <author>Neal Johnson</author>
  </authors>
  <commentList>
    <comment ref="A57" authorId="0">
      <text>
        <r>
          <rPr>
            <b/>
            <sz val="8"/>
            <rFont val="Tahoma"/>
            <family val="0"/>
          </rPr>
          <t>Neal Johnson:</t>
        </r>
        <r>
          <rPr>
            <sz val="8"/>
            <rFont val="Tahoma"/>
            <family val="0"/>
          </rPr>
          <t xml:space="preserve">
Levelized annual return per acre is the constant annual return per acre that yields the same net present value as the non-constant annual returns.
</t>
        </r>
      </text>
    </comment>
  </commentList>
</comments>
</file>

<file path=xl/comments12.xml><?xml version="1.0" encoding="utf-8"?>
<comments xmlns="http://schemas.openxmlformats.org/spreadsheetml/2006/main">
  <authors>
    <author>Neal Johnson</author>
  </authors>
  <commentList>
    <comment ref="A57" authorId="0">
      <text>
        <r>
          <rPr>
            <b/>
            <sz val="8"/>
            <rFont val="Tahoma"/>
            <family val="0"/>
          </rPr>
          <t>Neal Johnson:</t>
        </r>
        <r>
          <rPr>
            <sz val="8"/>
            <rFont val="Tahoma"/>
            <family val="0"/>
          </rPr>
          <t xml:space="preserve">
Levelized annual return per acre is the constant annual return per acre that yields the same net present value as the non-constant annual returns.
</t>
        </r>
      </text>
    </comment>
  </commentList>
</comments>
</file>

<file path=xl/comments13.xml><?xml version="1.0" encoding="utf-8"?>
<comments xmlns="http://schemas.openxmlformats.org/spreadsheetml/2006/main">
  <authors>
    <author>Carolyn J. Henri</author>
    <author>Neal Johnson</author>
  </authors>
  <commentList>
    <comment ref="A3" authorId="0">
      <text>
        <r>
          <rPr>
            <sz val="8"/>
            <rFont val="Tahoma"/>
            <family val="0"/>
          </rPr>
          <t xml:space="preserve">
Include all the lineal stream distance to be buffered, whether it  has an existing buffer or no buffer at all.
If you do not know the stream types on your property, you can check with Snohomish Conservation District or view stream maps located at Snohomish County Planning and Development Services offices. 
Definitions of stream types (Washington Forest Practices Board 1992):
Type 1: All waters within their ordinary high-water mark as inventoried in “Shorelines of the State.”  
Type 2: All waters not classed as Type 1, with 20 feet or more between each bank’s ordinary high water mark.  Type 2 waters have high use and are important from a water quality standpoint for domestic use, public recreation, and fish and wildlife habitat.
Type 3: Waters that have 5 or more feet between each bank’s ordinary high water mark, and which have a moderate to slight use and are moderately important from a water quality standpoint for domestic use, public recreation, and fish and wildlife habitat.    
Type 4: Waters that have 2 or more feet between each bank’s ordinary high water mark.  Their significance lies in their influence on the water quality of larger water types downstream.  Type 4 streams may be perennial or intermittent.
Type 5:  All other waters, in natural watercourses, including streams with or without a well-defined channel, areas of perennial or intermittent seepage, and natural sinks.  Drainage ways having a short period of spring runoff are also considered to be Type 5.
Type 9:  Unknown 
</t>
        </r>
      </text>
    </comment>
    <comment ref="C17" authorId="0">
      <text>
        <r>
          <rPr>
            <b/>
            <sz val="8"/>
            <rFont val="Tahoma"/>
            <family val="0"/>
          </rPr>
          <t>Carolyn J. Henri:</t>
        </r>
        <r>
          <rPr>
            <sz val="8"/>
            <rFont val="Tahoma"/>
            <family val="0"/>
          </rPr>
          <t xml:space="preserve">
This value can be changed in the Prices worksheet.  Do not change it here.</t>
        </r>
      </text>
    </comment>
    <comment ref="C20" authorId="0">
      <text>
        <r>
          <rPr>
            <b/>
            <sz val="8"/>
            <rFont val="Tahoma"/>
            <family val="0"/>
          </rPr>
          <t>Carolyn J. Henri:</t>
        </r>
        <r>
          <rPr>
            <sz val="8"/>
            <rFont val="Tahoma"/>
            <family val="0"/>
          </rPr>
          <t xml:space="preserve">
Acreage is calculated using the following formula: Average Width in feet multiplied by the length in lineal feet, then divided by 43,560.
There are 43,560 square feet in an acre.</t>
        </r>
      </text>
    </comment>
    <comment ref="B44" authorId="0">
      <text>
        <r>
          <rPr>
            <b/>
            <sz val="8"/>
            <rFont val="Tahoma"/>
            <family val="0"/>
          </rPr>
          <t>Carolyn J. Henri:</t>
        </r>
        <r>
          <rPr>
            <sz val="8"/>
            <rFont val="Tahoma"/>
            <family val="0"/>
          </rPr>
          <t xml:space="preserve">
Numbers here are only examples.  You should enter the widths of your own buffers.</t>
        </r>
      </text>
    </comment>
    <comment ref="A74" authorId="0">
      <text>
        <r>
          <rPr>
            <b/>
            <sz val="8"/>
            <rFont val="Tahoma"/>
            <family val="0"/>
          </rPr>
          <t>Carolyn J. Henri:</t>
        </r>
        <r>
          <rPr>
            <sz val="8"/>
            <rFont val="Tahoma"/>
            <family val="0"/>
          </rPr>
          <t xml:space="preserve">
Type 9 watercourses are un-typed.  If you have watercourses on your property that are not recorded on county or state maps, include them in this stream type</t>
        </r>
      </text>
    </comment>
    <comment ref="C16" authorId="0">
      <text>
        <r>
          <rPr>
            <b/>
            <sz val="8"/>
            <rFont val="Tahoma"/>
            <family val="0"/>
          </rPr>
          <t>Carolyn J. Henri:</t>
        </r>
        <r>
          <rPr>
            <sz val="8"/>
            <rFont val="Tahoma"/>
            <family val="0"/>
          </rPr>
          <t xml:space="preserve">
Enter 0 if no fencing required.</t>
        </r>
      </text>
    </comment>
    <comment ref="B101" authorId="0">
      <text>
        <r>
          <rPr>
            <b/>
            <sz val="8"/>
            <rFont val="Tahoma"/>
            <family val="0"/>
          </rPr>
          <t>Carolyn J. Henri:</t>
        </r>
        <r>
          <rPr>
            <sz val="8"/>
            <rFont val="Tahoma"/>
            <family val="0"/>
          </rPr>
          <t xml:space="preserve">
This column contains the value per unit (usually, but not always, one year).  For comparison sake, these figures are converted to their present values in the next column.</t>
        </r>
      </text>
    </comment>
    <comment ref="C101" authorId="0">
      <text>
        <r>
          <rPr>
            <b/>
            <sz val="8"/>
            <rFont val="Tahoma"/>
            <family val="0"/>
          </rPr>
          <t>Carolyn J. Henri:</t>
        </r>
        <r>
          <rPr>
            <sz val="8"/>
            <rFont val="Tahoma"/>
            <family val="0"/>
          </rPr>
          <t xml:space="preserve">
PV = Present Value.
Not all buffer revenues and costs occur in the same year.  In order to compare revenues and costs, they must be expressed in their </t>
        </r>
        <r>
          <rPr>
            <i/>
            <sz val="8"/>
            <rFont val="Tahoma"/>
            <family val="2"/>
          </rPr>
          <t>present values</t>
        </r>
        <r>
          <rPr>
            <sz val="8"/>
            <rFont val="Tahoma"/>
            <family val="0"/>
          </rPr>
          <t xml:space="preserve"> (their values today).  These values are shown in this column.  
These are total revenues or costs of the buffer over it's entire lifetime.  PLEASE NOTE:  These are NOT annual costs.  This model assumes that buffers are permanent, once installed.
</t>
        </r>
      </text>
    </comment>
    <comment ref="C110" authorId="0">
      <text>
        <r>
          <rPr>
            <sz val="8"/>
            <rFont val="Tahoma"/>
            <family val="0"/>
          </rPr>
          <t xml:space="preserve">
This calculation assumes a regular </t>
        </r>
        <r>
          <rPr>
            <i/>
            <sz val="8"/>
            <rFont val="Tahoma"/>
            <family val="2"/>
          </rPr>
          <t>annual</t>
        </r>
        <r>
          <rPr>
            <sz val="8"/>
            <rFont val="Tahoma"/>
            <family val="0"/>
          </rPr>
          <t xml:space="preserve"> income.  If the income is the same amount each time, but is periodic over an indefinite period (every five years for the foreseeable future, for example) the following equation should be used:  C= R/{(1+i)</t>
        </r>
        <r>
          <rPr>
            <b/>
            <vertAlign val="superscript"/>
            <sz val="9"/>
            <rFont val="Tahoma"/>
            <family val="2"/>
          </rPr>
          <t>n</t>
        </r>
        <r>
          <rPr>
            <sz val="8"/>
            <rFont val="Tahoma"/>
            <family val="0"/>
          </rPr>
          <t xml:space="preserve"> - 1}.  "C" stands for "Capitalized value", 'R' is the amount of periodic income,' i ' is the interest rate, and 'n' is the number of interest bearing periods between income payments.
If the income is limited to only a certain amount of years, the following Excel function must be used:  -PV(rate,nper,pmt,fv,type).  See the Excel Help file for how to use this function.  
If the income is periodic and of differing amounts, you will have to calculate the PV separately and enter it here.</t>
        </r>
      </text>
    </comment>
    <comment ref="C142" authorId="0">
      <text>
        <r>
          <rPr>
            <b/>
            <sz val="8"/>
            <rFont val="Tahoma"/>
            <family val="0"/>
          </rPr>
          <t>Carolyn J. Henri:</t>
        </r>
        <r>
          <rPr>
            <sz val="8"/>
            <rFont val="Tahoma"/>
            <family val="0"/>
          </rPr>
          <t xml:space="preserve">
This cell assumes the Other Cost is an annual reoccurring cost.  If the cost is periodic over an indefinite period (every five years for the foreseeable future, for example) the following equation must be used:  C= R/{(1+i)n - 1}.  "C" stands for "Capitalized value", 'R' is the amount of periodic cost,' i ' is the interest rate, and 'n' is the number of interest bearing periods between cost payments.
If the cost is limited to only a certain amount of years, the following Excel function must be used:  -PV(rate,nper,pmt,fv,type).  See the Excel Help file for how to use this function.  </t>
        </r>
      </text>
    </comment>
    <comment ref="B141" authorId="0">
      <text>
        <r>
          <rPr>
            <b/>
            <sz val="8"/>
            <rFont val="Tahoma"/>
            <family val="0"/>
          </rPr>
          <t>Carolyn J. Henri:</t>
        </r>
        <r>
          <rPr>
            <sz val="8"/>
            <rFont val="Tahoma"/>
            <family val="0"/>
          </rPr>
          <t xml:space="preserve">
Land that is spatially unviable means land that is now inaccessible because of the buffer, usually for physical reasons (i.e. areas that are now too small to plow with your equipment due to the presence of the buffer, or areas that have been made unproductive for some other operational reason caused by the buffer).  Note:  This is NOT land that is physically OCCUPIED by the buffer.  Enter the annual amount per acre lost multiplied by the number of acres affected.
This cell can also be used to calculate foregone income caused by </t>
        </r>
        <r>
          <rPr>
            <b/>
            <sz val="8"/>
            <rFont val="Tahoma"/>
            <family val="2"/>
          </rPr>
          <t>shading</t>
        </r>
        <r>
          <rPr>
            <sz val="8"/>
            <rFont val="Tahoma"/>
            <family val="0"/>
          </rPr>
          <t xml:space="preserve"> from the buffer.  </t>
        </r>
        <r>
          <rPr>
            <b/>
            <sz val="8"/>
            <rFont val="Tahoma"/>
            <family val="2"/>
          </rPr>
          <t>EXAMPLE</t>
        </r>
        <r>
          <rPr>
            <sz val="8"/>
            <rFont val="Tahoma"/>
            <family val="0"/>
          </rPr>
          <t xml:space="preserve">: you estimate that a 6 acre forested riparian buffer planted adjacent to your silage field will shade the adjacent 10 acres of field, causing a reduction in yield of 5% on those acres.  Your original yield on those acres was 13 tons/acre, and the market price of silage is $28.50 per ton.  
</t>
        </r>
        <r>
          <rPr>
            <b/>
            <sz val="8"/>
            <rFont val="Tahoma"/>
            <family val="2"/>
          </rPr>
          <t>Income loss calculation:</t>
        </r>
        <r>
          <rPr>
            <sz val="8"/>
            <rFont val="Tahoma"/>
            <family val="0"/>
          </rPr>
          <t xml:space="preserve">  
Original income per acre = 13 tons x 28.50 per ton = $370.50 per acre
New income per acre =   12.35 tons x 28.50 per ton = 351.98
Income loss per acre = 370.5 - 351.98 = $18.53 per acre
Total income loss on 10 acres = $18.53 x 10 acres = $185.30 per year.
$185.30 is the number entered in this cell.
</t>
        </r>
      </text>
    </comment>
    <comment ref="C111" authorId="0">
      <text>
        <r>
          <rPr>
            <b/>
            <sz val="8"/>
            <rFont val="Tahoma"/>
            <family val="0"/>
          </rPr>
          <t xml:space="preserve">
</t>
        </r>
        <r>
          <rPr>
            <sz val="8"/>
            <rFont val="Tahoma"/>
            <family val="2"/>
          </rPr>
          <t>This calculation assumes a regular annual income.  If the income is the same amount each time, but is periodic over an indefinite period (every five years for the foreseeable future, for example) the following equation should be used:  C= R/{(1+i)n - 1}.  "C" stands for "Capitalized value", 'R' is the amount of periodic income,' i ' is the interest rate, and 'n' is the number of interest bearing periods between income payments.
If the income is limited to only a certain amount of years, the following Excel function must be used:  -PV(rate,nper,pmt,fv,type).  See the Excel Help file for how to use this function.  
If the income is periodic and of differing amounts, you will have to calculate the PV separately and enter it here.</t>
        </r>
      </text>
    </comment>
    <comment ref="A147" authorId="0">
      <text>
        <r>
          <rPr>
            <b/>
            <sz val="8"/>
            <rFont val="Tahoma"/>
            <family val="0"/>
          </rPr>
          <t>Carolyn J. Henri:</t>
        </r>
        <r>
          <rPr>
            <sz val="8"/>
            <rFont val="Tahoma"/>
            <family val="0"/>
          </rPr>
          <t xml:space="preserve">
The annual equivalent is the average annual return  or loss associated with the buffers. When summed over a chosen period (in this case 10, 15, 25, or 50 years) the annual equivalent is equal to the net present value of the returns (losses) from the enterprise.  The average annual revenue and cost are used in the annual budget ("Budget w. buffer") to reflect annual buffer impacts.  
The user can designate the time period over which to average the annual costs in the "Farm and Buffer Assumptions sheet". The choice over how many years to annualize is largely an accounting question and will be unique to the tax situation of each operation.  An accountant should be consulted for questions on this issue.  The shorter the time period over which the costs or revenues are annualized the larger the annual amounts will be.</t>
        </r>
      </text>
    </comment>
    <comment ref="A124" authorId="0">
      <text>
        <r>
          <rPr>
            <sz val="8"/>
            <rFont val="Tahoma"/>
            <family val="0"/>
          </rPr>
          <t xml:space="preserve">
Assumes 7% of shrubs and 10% of trees will have to be replaced in year two.</t>
        </r>
      </text>
    </comment>
    <comment ref="B22" authorId="0">
      <text>
        <r>
          <rPr>
            <b/>
            <sz val="8"/>
            <rFont val="Tahoma"/>
            <family val="0"/>
          </rPr>
          <t>Carolyn J. Henri:</t>
        </r>
        <r>
          <rPr>
            <sz val="8"/>
            <rFont val="Tahoma"/>
            <family val="0"/>
          </rPr>
          <t xml:space="preserve">
Numbers here are only examples.  You should enter the widths of your own buffer.</t>
        </r>
      </text>
    </comment>
    <comment ref="B97" authorId="0">
      <text>
        <r>
          <rPr>
            <b/>
            <sz val="8"/>
            <rFont val="Tahoma"/>
            <family val="0"/>
          </rPr>
          <t>Carolyn J. Henri:</t>
        </r>
        <r>
          <rPr>
            <sz val="8"/>
            <rFont val="Tahoma"/>
            <family val="0"/>
          </rPr>
          <t xml:space="preserve">
Enter a rough estimate.  This number is used later in the "Budget with buffer" worksheet to adjust the rental payments you make on leased land.   If you do not lease land or if your land rental payments will not change as a result of buffers placed on leased land, then enter 0.</t>
        </r>
      </text>
    </comment>
    <comment ref="A86" authorId="0">
      <text>
        <r>
          <rPr>
            <b/>
            <sz val="8"/>
            <rFont val="Tahoma"/>
            <family val="0"/>
          </rPr>
          <t>Carolyn J. Henri:</t>
        </r>
        <r>
          <rPr>
            <sz val="8"/>
            <rFont val="Tahoma"/>
            <family val="0"/>
          </rPr>
          <t xml:space="preserve">
This table automatically summarizes the different buffer types and total buffer acreage for your property.</t>
        </r>
      </text>
    </comment>
    <comment ref="A99" authorId="0">
      <text>
        <r>
          <rPr>
            <b/>
            <sz val="8"/>
            <rFont val="Tahoma"/>
            <family val="0"/>
          </rPr>
          <t>Carolyn J. Henri:</t>
        </r>
        <r>
          <rPr>
            <sz val="8"/>
            <rFont val="Tahoma"/>
            <family val="0"/>
          </rPr>
          <t xml:space="preserve">
This table summarizes all the revenues and costs associated with the buffers you’ve just designed in the Multi-Zone Buffer Builder Table (above).  If an item is not relevant a “0” will appear in the $ column.  Note that these are TOTAL incomes and costs for the buffer area, NOT per acre costs.
How the Buffer Budget Summary table works:  This table is linked to the Buffer Acreage Summary table above.  It is also linked to a worksheet called “Buffer Budgets.” If you are working in the Excel workbook, you will see a tab called “Buffer Budgets” at the bottom of the screen behind the “Budget with Buffer” tab.  The “Buffer Budgets” worksheet has seven separate budgets for the seven different buffer types (setback, grass filterstrip, grass green chop/silage, hay, shrub, mixed forest (no-touch) and mixed forest (managed)).  The Buffer Budget Summary Table takes the per acre revenues and costs of the individual buffer types in the “Buffer Budgets” worksheet and multiplies these by the number of acres for each buffer type in the Buffer Acreage Summary Table.</t>
        </r>
      </text>
    </comment>
    <comment ref="B109" authorId="0">
      <text>
        <r>
          <rPr>
            <b/>
            <sz val="8"/>
            <rFont val="Tahoma"/>
            <family val="0"/>
          </rPr>
          <t>Carolyn J. Henri:</t>
        </r>
        <r>
          <rPr>
            <sz val="8"/>
            <rFont val="Tahoma"/>
            <family val="0"/>
          </rPr>
          <t xml:space="preserve">
Timber income is not an annual income.  It is  periodic and in irregular amounts, according to the harvest schedule established in Buffer Harvest Sched worksheet.  That is why it is not included here.</t>
        </r>
      </text>
    </comment>
    <comment ref="B138" authorId="0">
      <text>
        <r>
          <rPr>
            <sz val="8"/>
            <rFont val="Tahoma"/>
            <family val="0"/>
          </rPr>
          <t xml:space="preserve">
Note:  Does not include periodic harvest of timber.  However, the PV column DOES include this cost. </t>
        </r>
      </text>
    </comment>
    <comment ref="B110" authorId="0">
      <text>
        <r>
          <rPr>
            <sz val="8"/>
            <rFont val="Tahoma"/>
            <family val="0"/>
          </rPr>
          <t xml:space="preserve">
Include the income per acre multiplied by the number of acres in the buffer (cell B98).</t>
        </r>
      </text>
    </comment>
    <comment ref="B111" authorId="0">
      <text>
        <r>
          <rPr>
            <sz val="8"/>
            <rFont val="Tahoma"/>
            <family val="0"/>
          </rPr>
          <t xml:space="preserve">
Include the income per acre multiplied by the number of acres in the buffer (cell B98).</t>
        </r>
      </text>
    </comment>
    <comment ref="B20" authorId="0">
      <text>
        <r>
          <rPr>
            <b/>
            <sz val="8"/>
            <rFont val="Tahoma"/>
            <family val="0"/>
          </rPr>
          <t>Carolyn J. Henri:</t>
        </r>
        <r>
          <rPr>
            <sz val="8"/>
            <rFont val="Tahoma"/>
            <family val="0"/>
          </rPr>
          <t xml:space="preserve">
In the discussion below "width" refers to the buffer width on one side of the stream.  If you do not currently have a buffer, then include the final width of the planned buffer.  If you already have a buffer and are planning to expand its width, include only the ADDITIONAL width in this column.  If you have several segments of a type x stream with different existing buffer widths, use the </t>
        </r>
        <r>
          <rPr>
            <i/>
            <sz val="8"/>
            <rFont val="Tahoma"/>
            <family val="2"/>
          </rPr>
          <t>weighted average</t>
        </r>
        <r>
          <rPr>
            <sz val="8"/>
            <rFont val="Tahoma"/>
            <family val="0"/>
          </rPr>
          <t xml:space="preserve"> buffer width.  If your current buffer will be removed and replanted as part of your buffer project, it should be treated as if there is no buffer at all.
</t>
        </r>
        <r>
          <rPr>
            <u val="single"/>
            <sz val="8"/>
            <rFont val="Tahoma"/>
            <family val="2"/>
          </rPr>
          <t>How to calculate the weighted average existing buffer width</t>
        </r>
        <r>
          <rPr>
            <sz val="8"/>
            <rFont val="Tahoma"/>
            <family val="0"/>
          </rPr>
          <t>:  Sum all the lineal feet of the stream type on the property.  Separate the total into stream segments by buffer width (i.e. 1200 lineal ft. with 150' buffer, 200 lineal ft. with 30' buffer, and 500 lineal ft. with 70' buffer).  Multiply the buffer width of the segment by the segment length divided by the total type x length.  Repeat this for each segment, then add all the segments.  This is your average existing buffer width.
EXAMPLE 1: Karen has 12,000 lineal feet of type 1 stream on her property.  6,000 of these lineal feet already have a 150' forested buffer, 4,000 lineal feet have a 45' buffer, and 2,000 lineal feet have no buffer.  Her average existing buffer width is: [150*6,000/12,000] + [45*4,000/12,000] + [0*2,000/12,000] = 90 feet.  If the selected treatment for a Type 1 stream is a 300' forested buffer, Karen would enter '210'  (300-90) in the appropriate blue box.  
EXAMPLE 2:  Bill currently has no buffer along a type 1 stream.  He is planning to install a 125' setback.  He should enter 125' in the appropriate blue box.
EXAMPLE 3:  James currently has a 50' tree buffer along a type 1 stream.  He will increase the width of this buffer by 75' for a total buffer width of 125'.  James will not do any additional work in the existing buffer.  He should enter 75'  in the appropriate blue box.   
EXAMPLE 4:  Hank currently has a 15' blackberry buffer along a type 1 stream.  He will increase the width of the buffer by 60' for a total buffer width of 75'.  Hank will remove the blackberries and plant the whole buffer in trees.  He should enter 75' in the appropriate box.</t>
        </r>
      </text>
    </comment>
    <comment ref="A6" authorId="0">
      <text>
        <r>
          <rPr>
            <sz val="8"/>
            <rFont val="Tahoma"/>
            <family val="0"/>
          </rPr>
          <t xml:space="preserve">
Definition of Type 1 Stream (Washington Forest Practices Board 1992):
All waters within their ordinary high-water mark as inventoried in “Shorelines of the State.”  
</t>
        </r>
      </text>
    </comment>
    <comment ref="A7" authorId="0">
      <text>
        <r>
          <rPr>
            <sz val="8"/>
            <rFont val="Tahoma"/>
            <family val="0"/>
          </rPr>
          <t xml:space="preserve">
Definition of Type 2 Stream (Washington Forest Practices Board 1992):
All waters not classed as Type 1, with 20 feet or more between each bank’s ordinary high water mark.  Type 2 waters have high use and are important from a water quality standpoint for domestic use, public recreation, and fish and wildlife habitat.
</t>
        </r>
      </text>
    </comment>
    <comment ref="A8" authorId="0">
      <text>
        <r>
          <rPr>
            <sz val="8"/>
            <rFont val="Tahoma"/>
            <family val="0"/>
          </rPr>
          <t xml:space="preserve">
Definition of Type 3 Stream (Washington Forest Practices Board 1992):
Waters that have 5 or more feet between each bank’s ordinary high water mark, and which have a moderate to slight use and are moderately important from a water quality standpoint for domestic use, public recreation, and fish and wildlife habitat.    
</t>
        </r>
      </text>
    </comment>
    <comment ref="A9" authorId="0">
      <text>
        <r>
          <rPr>
            <sz val="8"/>
            <rFont val="Tahoma"/>
            <family val="0"/>
          </rPr>
          <t xml:space="preserve">
Definition of Type 4 Stream (Washington Forest Practices Board 1992):
Waters that have 2 or more feet between each bank’s ordinary high water mark.  Their significance lies in their influence on the water quality of larger water types downstream.  Type 4 streams may be perennial or intermittent.
</t>
        </r>
      </text>
    </comment>
    <comment ref="A10" authorId="0">
      <text>
        <r>
          <rPr>
            <sz val="8"/>
            <rFont val="Tahoma"/>
            <family val="0"/>
          </rPr>
          <t xml:space="preserve">
Definition of Type 5 Stream (Washington Forest Practices Board 1992):
All other waters, in natural watercourses, including streams with or without a well-defined channel, areas of perennial or intermittent seepage, and natural sinks.  Drainage ways having a short period of spring runoff are also considered to be Type 5.
</t>
        </r>
      </text>
    </comment>
    <comment ref="A11" authorId="0">
      <text>
        <r>
          <rPr>
            <sz val="8"/>
            <rFont val="Tahoma"/>
            <family val="0"/>
          </rPr>
          <t xml:space="preserve">
Type 9:  Unknown 
</t>
        </r>
      </text>
    </comment>
    <comment ref="A140" authorId="1">
      <text>
        <r>
          <rPr>
            <b/>
            <sz val="8"/>
            <rFont val="Tahoma"/>
            <family val="0"/>
          </rPr>
          <t>Neal Johnson:</t>
        </r>
        <r>
          <rPr>
            <sz val="8"/>
            <rFont val="Tahoma"/>
            <family val="0"/>
          </rPr>
          <t xml:space="preserve">
Foregone income will depend on which acreage is removed from production.
</t>
        </r>
      </text>
    </comment>
  </commentList>
</comments>
</file>

<file path=xl/comments14.xml><?xml version="1.0" encoding="utf-8"?>
<comments xmlns="http://schemas.openxmlformats.org/spreadsheetml/2006/main">
  <authors>
    <author>Carolyn J. Henri</author>
  </authors>
  <commentList>
    <comment ref="M67" authorId="0">
      <text>
        <r>
          <rPr>
            <b/>
            <sz val="8"/>
            <rFont val="Tahoma"/>
            <family val="0"/>
          </rPr>
          <t>Carolyn J. Henri:</t>
        </r>
        <r>
          <rPr>
            <sz val="8"/>
            <rFont val="Tahoma"/>
            <family val="0"/>
          </rPr>
          <t xml:space="preserve">
Less than worksheet because it's projected over 100 years.  Worksheet is projection over indefinite period.</t>
        </r>
      </text>
    </comment>
    <comment ref="G86" authorId="0">
      <text>
        <r>
          <rPr>
            <b/>
            <sz val="8"/>
            <rFont val="Tahoma"/>
            <family val="0"/>
          </rPr>
          <t>Carolyn J. Henri:</t>
        </r>
        <r>
          <rPr>
            <sz val="8"/>
            <rFont val="Tahoma"/>
            <family val="0"/>
          </rPr>
          <t xml:space="preserve">
Since this one-time payment will not be made until year two of the project, the value of this payment expressed in today's dollars is less than the amount that will be paid in year 2.  </t>
        </r>
      </text>
    </comment>
    <comment ref="A1" authorId="0">
      <text>
        <r>
          <rPr>
            <b/>
            <sz val="8"/>
            <rFont val="Tahoma"/>
            <family val="0"/>
          </rPr>
          <t>Carolyn J. Henri:</t>
        </r>
        <r>
          <rPr>
            <sz val="8"/>
            <rFont val="Tahoma"/>
            <family val="0"/>
          </rPr>
          <t xml:space="preserve">
Please note:  The Buffer Budgets worksheet is not meant to be manipulated by the user.  These budgets are based on the best available average cost and revenue information for the seven different buffer types. You should not modify this worksheet without a very compelling reason!</t>
        </r>
      </text>
    </comment>
    <comment ref="G196" authorId="0">
      <text>
        <r>
          <rPr>
            <sz val="8"/>
            <rFont val="Tahoma"/>
            <family val="0"/>
          </rPr>
          <t xml:space="preserve">
This number is the present value of tilling as part of re-establishment of the stand every X  years.  (X is established in the Farm and Buffer Assumptions worksheet.)</t>
        </r>
      </text>
    </comment>
    <comment ref="G197" authorId="0">
      <text>
        <r>
          <rPr>
            <sz val="8"/>
            <rFont val="Tahoma"/>
            <family val="0"/>
          </rPr>
          <t xml:space="preserve">
This number is the present value of seeding as part of re-establishment of the stand every X  years.  (X is established in the Farm and Buffer Assumptions worksheet.)</t>
        </r>
      </text>
    </comment>
    <comment ref="C147" authorId="0">
      <text>
        <r>
          <rPr>
            <sz val="8"/>
            <rFont val="Tahoma"/>
            <family val="0"/>
          </rPr>
          <t xml:space="preserve">
MBF = thousand board feet</t>
        </r>
      </text>
    </comment>
    <comment ref="G5" authorId="0">
      <text>
        <r>
          <rPr>
            <b/>
            <sz val="10"/>
            <rFont val="Trebuchet MS"/>
            <family val="2"/>
          </rPr>
          <t>Carolyn J. Henri:</t>
        </r>
        <r>
          <rPr>
            <sz val="10"/>
            <rFont val="Trebuchet MS"/>
            <family val="2"/>
          </rPr>
          <t xml:space="preserve">
Present value of equal annual payments.  
Equation : P= A X  (1+i)</t>
        </r>
        <r>
          <rPr>
            <vertAlign val="superscript"/>
            <sz val="12"/>
            <rFont val="Trebuchet MS"/>
            <family val="2"/>
          </rPr>
          <t>n</t>
        </r>
        <r>
          <rPr>
            <sz val="10"/>
            <rFont val="Trebuchet MS"/>
            <family val="2"/>
          </rPr>
          <t>-1
                              ----------
                               i(1+i)</t>
        </r>
        <r>
          <rPr>
            <vertAlign val="superscript"/>
            <sz val="12"/>
            <rFont val="Trebuchet MS"/>
            <family val="2"/>
          </rPr>
          <t>n</t>
        </r>
      </text>
    </comment>
    <comment ref="G15" authorId="0">
      <text>
        <r>
          <rPr>
            <b/>
            <sz val="8"/>
            <rFont val="Tahoma"/>
            <family val="0"/>
          </rPr>
          <t>Carolyn J. Henri:</t>
        </r>
        <r>
          <rPr>
            <sz val="8"/>
            <rFont val="Tahoma"/>
            <family val="0"/>
          </rPr>
          <t xml:space="preserve">
Present value of a perpetual series of annual payments</t>
        </r>
      </text>
    </comment>
    <comment ref="G148" authorId="0">
      <text>
        <r>
          <rPr>
            <b/>
            <sz val="8"/>
            <rFont val="Tahoma"/>
            <family val="0"/>
          </rPr>
          <t>Carolyn J. Henri:</t>
        </r>
        <r>
          <rPr>
            <sz val="8"/>
            <rFont val="Tahoma"/>
            <family val="0"/>
          </rPr>
          <t xml:space="preserve">
Present value of a periodic cash flow to occur every 20 years and commence 20 years from now.</t>
        </r>
      </text>
    </comment>
    <comment ref="G149" authorId="0">
      <text>
        <r>
          <rPr>
            <b/>
            <sz val="8"/>
            <rFont val="Tahoma"/>
            <family val="0"/>
          </rPr>
          <t>Carolyn J. Henri:</t>
        </r>
        <r>
          <rPr>
            <sz val="8"/>
            <rFont val="Tahoma"/>
            <family val="0"/>
          </rPr>
          <t xml:space="preserve">
Present value of a periodic cash flow to occur every 35 years and commence 35 years from now.</t>
        </r>
      </text>
    </comment>
    <comment ref="G161" authorId="0">
      <text>
        <r>
          <rPr>
            <sz val="8"/>
            <rFont val="Tahoma"/>
            <family val="0"/>
          </rPr>
          <t xml:space="preserve">
Present value of a one time cost that will be incurred 15 years from now.</t>
        </r>
      </text>
    </comment>
    <comment ref="G164" authorId="0">
      <text>
        <r>
          <rPr>
            <sz val="8"/>
            <rFont val="Tahoma"/>
            <family val="0"/>
          </rPr>
          <t xml:space="preserve">
Present value of a perpetual series of costs that will occur every 20 years for hardwood logging and every 35 years for softwood logging.</t>
        </r>
      </text>
    </comment>
    <comment ref="B148" authorId="0">
      <text>
        <r>
          <rPr>
            <b/>
            <sz val="8"/>
            <rFont val="Tahoma"/>
            <family val="0"/>
          </rPr>
          <t>Carolyn J. Henri:</t>
        </r>
        <r>
          <rPr>
            <sz val="8"/>
            <rFont val="Tahoma"/>
            <family val="0"/>
          </rPr>
          <t xml:space="preserve">
Hardwoods are harvested every twenty years</t>
        </r>
      </text>
    </comment>
    <comment ref="B149" authorId="0">
      <text>
        <r>
          <rPr>
            <b/>
            <sz val="8"/>
            <rFont val="Tahoma"/>
            <family val="0"/>
          </rPr>
          <t>Carolyn J. Henri:</t>
        </r>
        <r>
          <rPr>
            <sz val="8"/>
            <rFont val="Tahoma"/>
            <family val="0"/>
          </rPr>
          <t xml:space="preserve">
Softwoods are harvested every 35 years</t>
        </r>
      </text>
    </comment>
    <comment ref="E148" authorId="0">
      <text>
        <r>
          <rPr>
            <sz val="8"/>
            <rFont val="Tahoma"/>
            <family val="0"/>
          </rPr>
          <t xml:space="preserve">
This is the total volume harvested over the entire period of years selected for the harvest evaluation.  See Buffer Harvest Sched worksheet for more detail.</t>
        </r>
      </text>
    </comment>
    <comment ref="B164" authorId="0">
      <text>
        <r>
          <rPr>
            <b/>
            <sz val="8"/>
            <rFont val="Tahoma"/>
            <family val="0"/>
          </rPr>
          <t>Carolyn J. Henri:</t>
        </r>
        <r>
          <rPr>
            <sz val="8"/>
            <rFont val="Tahoma"/>
            <family val="0"/>
          </rPr>
          <t xml:space="preserve">
Hardwoods are logged every 20 years.  Softwoods are logged every 35 years.</t>
        </r>
      </text>
    </comment>
    <comment ref="F148" authorId="0">
      <text>
        <r>
          <rPr>
            <b/>
            <sz val="8"/>
            <rFont val="Tahoma"/>
            <family val="0"/>
          </rPr>
          <t>Carolyn J. Henri:</t>
        </r>
        <r>
          <rPr>
            <sz val="8"/>
            <rFont val="Tahoma"/>
            <family val="0"/>
          </rPr>
          <t xml:space="preserve">
Leave this cell blank
</t>
        </r>
      </text>
    </comment>
    <comment ref="F149" authorId="0">
      <text>
        <r>
          <rPr>
            <b/>
            <sz val="8"/>
            <rFont val="Tahoma"/>
            <family val="0"/>
          </rPr>
          <t>Carolyn J. Henri:</t>
        </r>
        <r>
          <rPr>
            <sz val="8"/>
            <rFont val="Tahoma"/>
            <family val="0"/>
          </rPr>
          <t xml:space="preserve">
Leave this cell blank</t>
        </r>
      </text>
    </comment>
    <comment ref="F164" authorId="0">
      <text>
        <r>
          <rPr>
            <b/>
            <sz val="8"/>
            <rFont val="Tahoma"/>
            <family val="0"/>
          </rPr>
          <t>Carolyn J. Henri:</t>
        </r>
        <r>
          <rPr>
            <sz val="8"/>
            <rFont val="Tahoma"/>
            <family val="0"/>
          </rPr>
          <t xml:space="preserve">
Leave this cell blank
</t>
        </r>
      </text>
    </comment>
    <comment ref="F165" authorId="0">
      <text>
        <r>
          <rPr>
            <b/>
            <sz val="8"/>
            <rFont val="Tahoma"/>
            <family val="0"/>
          </rPr>
          <t>Carolyn J. Henri:</t>
        </r>
        <r>
          <rPr>
            <sz val="8"/>
            <rFont val="Tahoma"/>
            <family val="0"/>
          </rPr>
          <t xml:space="preserve">
Leave this cell blank
</t>
        </r>
      </text>
    </comment>
    <comment ref="B70" authorId="0">
      <text>
        <r>
          <rPr>
            <sz val="8"/>
            <rFont val="Tahoma"/>
            <family val="0"/>
          </rPr>
          <t xml:space="preserve">
Assumes stand is replanted every X years.  X is determined in the Farm and Buffer Assumptions worksheet</t>
        </r>
      </text>
    </comment>
    <comment ref="E160" authorId="0">
      <text>
        <r>
          <rPr>
            <sz val="8"/>
            <rFont val="Tahoma"/>
            <family val="0"/>
          </rPr>
          <t xml:space="preserve">
The default assumption is that 10% of the stand will have to be replanted due to mortality caused by damage, drought, beaver, etc.  This percentage can be changed by the used.</t>
        </r>
      </text>
    </comment>
    <comment ref="E149" authorId="0">
      <text>
        <r>
          <rPr>
            <sz val="8"/>
            <rFont val="Tahoma"/>
            <family val="0"/>
          </rPr>
          <t xml:space="preserve">
This is the total volume harvested over the entire period of years selected for the harvest evaluation.  See Buffer Harvest Sched worksheet for more detail.</t>
        </r>
      </text>
    </comment>
    <comment ref="G99" authorId="0">
      <text>
        <r>
          <rPr>
            <b/>
            <sz val="8"/>
            <rFont val="Tahoma"/>
            <family val="0"/>
          </rPr>
          <t>Carolyn J. Henri:</t>
        </r>
        <r>
          <rPr>
            <sz val="8"/>
            <rFont val="Tahoma"/>
            <family val="0"/>
          </rPr>
          <t xml:space="preserve">
Since this one-time payment will not be made until year two of the project, the value of this payment expressed in today's dollars is less than the amount that will be paid in year 2.  </t>
        </r>
      </text>
    </comment>
    <comment ref="G115" authorId="0">
      <text>
        <r>
          <rPr>
            <b/>
            <sz val="8"/>
            <rFont val="Tahoma"/>
            <family val="0"/>
          </rPr>
          <t>Carolyn J. Henri:</t>
        </r>
        <r>
          <rPr>
            <sz val="8"/>
            <rFont val="Tahoma"/>
            <family val="0"/>
          </rPr>
          <t xml:space="preserve">
Since this one-time payment will not be made until year two of the project, the value of this payment expressed in today's dollars is less than the amount that will be paid in year 2.  </t>
        </r>
      </text>
    </comment>
    <comment ref="D190" authorId="0">
      <text>
        <r>
          <rPr>
            <sz val="8"/>
            <rFont val="Tahoma"/>
            <family val="0"/>
          </rPr>
          <t xml:space="preserve">
This includes N fertilizer, NPK fertilizer, and lime.  The majority of the cost is the initial dose of lime at installation.  This number should be adjusted to your particular management.</t>
        </r>
      </text>
    </comment>
  </commentList>
</comments>
</file>

<file path=xl/comments15.xml><?xml version="1.0" encoding="utf-8"?>
<comments xmlns="http://schemas.openxmlformats.org/spreadsheetml/2006/main">
  <authors>
    <author>Carolyn J. Henri</author>
  </authors>
  <commentList>
    <comment ref="B31" authorId="0">
      <text>
        <r>
          <rPr>
            <sz val="8"/>
            <rFont val="Tahoma"/>
            <family val="0"/>
          </rPr>
          <t xml:space="preserve">
Enter # of stems of Red Alder  planted PER ACRE.  
</t>
        </r>
      </text>
    </comment>
    <comment ref="D31" authorId="0">
      <text>
        <r>
          <rPr>
            <b/>
            <sz val="8"/>
            <rFont val="Tahoma"/>
            <family val="0"/>
          </rPr>
          <t>Carolyn J. Henri:</t>
        </r>
        <r>
          <rPr>
            <sz val="8"/>
            <rFont val="Tahoma"/>
            <family val="0"/>
          </rPr>
          <t xml:space="preserve">
Thinning
Not commercial</t>
        </r>
      </text>
    </comment>
    <comment ref="E31" authorId="0">
      <text>
        <r>
          <rPr>
            <b/>
            <sz val="8"/>
            <rFont val="Tahoma"/>
            <family val="0"/>
          </rPr>
          <t>Carolyn J. Henri:</t>
        </r>
        <r>
          <rPr>
            <sz val="8"/>
            <rFont val="Tahoma"/>
            <family val="0"/>
          </rPr>
          <t xml:space="preserve">
5000 board feet
20 yr old trees</t>
        </r>
      </text>
    </comment>
    <comment ref="E32" authorId="0">
      <text>
        <r>
          <rPr>
            <b/>
            <sz val="8"/>
            <rFont val="Tahoma"/>
            <family val="0"/>
          </rPr>
          <t>Carolyn J. Henri:</t>
        </r>
        <r>
          <rPr>
            <sz val="8"/>
            <rFont val="Tahoma"/>
            <family val="0"/>
          </rPr>
          <t xml:space="preserve">
Remaining stems</t>
        </r>
      </text>
    </comment>
    <comment ref="I32" authorId="0">
      <text>
        <r>
          <rPr>
            <b/>
            <sz val="8"/>
            <rFont val="Tahoma"/>
            <family val="0"/>
          </rPr>
          <t>Carolyn J. Henri:</t>
        </r>
        <r>
          <rPr>
            <sz val="8"/>
            <rFont val="Tahoma"/>
            <family val="0"/>
          </rPr>
          <t xml:space="preserve">
40 yr old trees</t>
        </r>
      </text>
    </comment>
    <comment ref="I33" authorId="0">
      <text>
        <r>
          <rPr>
            <b/>
            <sz val="8"/>
            <rFont val="Tahoma"/>
            <family val="0"/>
          </rPr>
          <t>Carolyn J. Henri:</t>
        </r>
        <r>
          <rPr>
            <sz val="8"/>
            <rFont val="Tahoma"/>
            <family val="0"/>
          </rPr>
          <t xml:space="preserve">
remaining stems</t>
        </r>
      </text>
    </comment>
    <comment ref="M33" authorId="0">
      <text>
        <r>
          <rPr>
            <b/>
            <sz val="8"/>
            <rFont val="Tahoma"/>
            <family val="0"/>
          </rPr>
          <t>Carolyn J. Henri:</t>
        </r>
        <r>
          <rPr>
            <sz val="8"/>
            <rFont val="Tahoma"/>
            <family val="0"/>
          </rPr>
          <t xml:space="preserve">
60 year old trees</t>
        </r>
      </text>
    </comment>
    <comment ref="I34" authorId="0">
      <text>
        <r>
          <rPr>
            <b/>
            <sz val="8"/>
            <rFont val="Tahoma"/>
            <family val="0"/>
          </rPr>
          <t>Carolyn J. Henri:</t>
        </r>
        <r>
          <rPr>
            <sz val="8"/>
            <rFont val="Tahoma"/>
            <family val="0"/>
          </rPr>
          <t xml:space="preserve">
20 year old trees</t>
        </r>
      </text>
    </comment>
    <comment ref="M35" authorId="0">
      <text>
        <r>
          <rPr>
            <b/>
            <sz val="8"/>
            <rFont val="Tahoma"/>
            <family val="0"/>
          </rPr>
          <t>Carolyn J. Henri:</t>
        </r>
        <r>
          <rPr>
            <sz val="8"/>
            <rFont val="Tahoma"/>
            <family val="0"/>
          </rPr>
          <t xml:space="preserve">
40 year old trees</t>
        </r>
      </text>
    </comment>
    <comment ref="D36" authorId="0">
      <text>
        <r>
          <rPr>
            <b/>
            <sz val="8"/>
            <rFont val="Tahoma"/>
            <family val="0"/>
          </rPr>
          <t>Carolyn J. Henri:</t>
        </r>
        <r>
          <rPr>
            <sz val="8"/>
            <rFont val="Tahoma"/>
            <family val="0"/>
          </rPr>
          <t xml:space="preserve">
Thin to 125 stems remaining</t>
        </r>
      </text>
    </comment>
    <comment ref="H36" authorId="0">
      <text>
        <r>
          <rPr>
            <b/>
            <sz val="8"/>
            <rFont val="Tahoma"/>
            <family val="0"/>
          </rPr>
          <t>Carolyn J. Henri:</t>
        </r>
        <r>
          <rPr>
            <sz val="8"/>
            <rFont val="Tahoma"/>
            <family val="0"/>
          </rPr>
          <t xml:space="preserve">
Initial harvest of 35 yr old Doug Fir</t>
        </r>
      </text>
    </comment>
    <comment ref="Q36" authorId="0">
      <text>
        <r>
          <rPr>
            <b/>
            <sz val="8"/>
            <rFont val="Tahoma"/>
            <family val="0"/>
          </rPr>
          <t>Carolyn J. Henri:</t>
        </r>
        <r>
          <rPr>
            <sz val="8"/>
            <rFont val="Tahoma"/>
            <family val="0"/>
          </rPr>
          <t xml:space="preserve">
60 yr old
</t>
        </r>
      </text>
    </comment>
    <comment ref="H37" authorId="0">
      <text>
        <r>
          <rPr>
            <b/>
            <sz val="8"/>
            <rFont val="Tahoma"/>
            <family val="0"/>
          </rPr>
          <t>Carolyn J. Henri:</t>
        </r>
        <r>
          <rPr>
            <sz val="8"/>
            <rFont val="Tahoma"/>
            <family val="0"/>
          </rPr>
          <t xml:space="preserve">
Remaining stems
</t>
        </r>
      </text>
    </comment>
    <comment ref="M37" authorId="0">
      <text>
        <r>
          <rPr>
            <b/>
            <sz val="8"/>
            <rFont val="Tahoma"/>
            <family val="0"/>
          </rPr>
          <t>Carolyn J. Henri:</t>
        </r>
        <r>
          <rPr>
            <sz val="8"/>
            <rFont val="Tahoma"/>
            <family val="0"/>
          </rPr>
          <t xml:space="preserve">
20 year old trees</t>
        </r>
      </text>
    </comment>
    <comment ref="O37" authorId="0">
      <text>
        <r>
          <rPr>
            <b/>
            <sz val="8"/>
            <rFont val="Tahoma"/>
            <family val="0"/>
          </rPr>
          <t>Carolyn J. Henri:</t>
        </r>
        <r>
          <rPr>
            <sz val="8"/>
            <rFont val="Tahoma"/>
            <family val="0"/>
          </rPr>
          <t xml:space="preserve">
70 yr old trees</t>
        </r>
      </text>
    </comment>
    <comment ref="Q38" authorId="0">
      <text>
        <r>
          <rPr>
            <b/>
            <sz val="8"/>
            <rFont val="Tahoma"/>
            <family val="0"/>
          </rPr>
          <t>Carolyn J. Henri:</t>
        </r>
        <r>
          <rPr>
            <sz val="8"/>
            <rFont val="Tahoma"/>
            <family val="0"/>
          </rPr>
          <t xml:space="preserve">
40 yr old
</t>
        </r>
      </text>
    </comment>
    <comment ref="V38" authorId="0">
      <text>
        <r>
          <rPr>
            <b/>
            <sz val="8"/>
            <rFont val="Tahoma"/>
            <family val="0"/>
          </rPr>
          <t>Carolyn J. Henri:</t>
        </r>
        <r>
          <rPr>
            <sz val="8"/>
            <rFont val="Tahoma"/>
            <family val="0"/>
          </rPr>
          <t xml:space="preserve">
105 yr old trees</t>
        </r>
      </text>
    </comment>
    <comment ref="O39" authorId="0">
      <text>
        <r>
          <rPr>
            <b/>
            <sz val="8"/>
            <rFont val="Tahoma"/>
            <family val="0"/>
          </rPr>
          <t>Carolyn J. Henri:</t>
        </r>
        <r>
          <rPr>
            <sz val="8"/>
            <rFont val="Tahoma"/>
            <family val="0"/>
          </rPr>
          <t xml:space="preserve">
35 yr old trees</t>
        </r>
      </text>
    </comment>
    <comment ref="U39" authorId="0">
      <text>
        <r>
          <rPr>
            <b/>
            <sz val="8"/>
            <rFont val="Tahoma"/>
            <family val="0"/>
          </rPr>
          <t>Carolyn J. Henri:</t>
        </r>
        <r>
          <rPr>
            <sz val="8"/>
            <rFont val="Tahoma"/>
            <family val="0"/>
          </rPr>
          <t xml:space="preserve">
60 yr old</t>
        </r>
      </text>
    </comment>
    <comment ref="V39" authorId="0">
      <text>
        <r>
          <rPr>
            <b/>
            <sz val="8"/>
            <rFont val="Tahoma"/>
            <family val="0"/>
          </rPr>
          <t>Carolyn J. Henri:</t>
        </r>
        <r>
          <rPr>
            <sz val="8"/>
            <rFont val="Tahoma"/>
            <family val="0"/>
          </rPr>
          <t xml:space="preserve">
Don’t let trees grow past 105 yrs</t>
        </r>
      </text>
    </comment>
    <comment ref="Q40" authorId="0">
      <text>
        <r>
          <rPr>
            <b/>
            <sz val="8"/>
            <rFont val="Tahoma"/>
            <family val="0"/>
          </rPr>
          <t>Carolyn J. Henri:</t>
        </r>
        <r>
          <rPr>
            <sz val="8"/>
            <rFont val="Tahoma"/>
            <family val="0"/>
          </rPr>
          <t xml:space="preserve">
20 yr old trees
</t>
        </r>
      </text>
    </comment>
    <comment ref="V40" authorId="0">
      <text>
        <r>
          <rPr>
            <b/>
            <sz val="8"/>
            <rFont val="Tahoma"/>
            <family val="0"/>
          </rPr>
          <t>Carolyn J. Henri:</t>
        </r>
        <r>
          <rPr>
            <sz val="8"/>
            <rFont val="Tahoma"/>
            <family val="0"/>
          </rPr>
          <t xml:space="preserve">
70 yr old trees</t>
        </r>
      </text>
    </comment>
    <comment ref="U41" authorId="0">
      <text>
        <r>
          <rPr>
            <b/>
            <sz val="8"/>
            <rFont val="Tahoma"/>
            <family val="0"/>
          </rPr>
          <t>Carolyn J. Henri:</t>
        </r>
        <r>
          <rPr>
            <sz val="8"/>
            <rFont val="Tahoma"/>
            <family val="0"/>
          </rPr>
          <t xml:space="preserve">
40 yr old trees</t>
        </r>
      </text>
    </comment>
    <comment ref="V42" authorId="0">
      <text>
        <r>
          <rPr>
            <b/>
            <sz val="8"/>
            <rFont val="Tahoma"/>
            <family val="0"/>
          </rPr>
          <t>Carolyn J. Henri:</t>
        </r>
        <r>
          <rPr>
            <sz val="8"/>
            <rFont val="Tahoma"/>
            <family val="0"/>
          </rPr>
          <t xml:space="preserve">
35 yr old trees
</t>
        </r>
      </text>
    </comment>
    <comment ref="V43" authorId="0">
      <text>
        <r>
          <rPr>
            <b/>
            <sz val="8"/>
            <rFont val="Tahoma"/>
            <family val="0"/>
          </rPr>
          <t>Carolyn J. Henri:</t>
        </r>
        <r>
          <rPr>
            <sz val="8"/>
            <rFont val="Tahoma"/>
            <family val="0"/>
          </rPr>
          <t xml:space="preserve">
Remaining stems
</t>
        </r>
      </text>
    </comment>
    <comment ref="A18" authorId="0">
      <text>
        <r>
          <rPr>
            <sz val="8"/>
            <rFont val="Tahoma"/>
            <family val="0"/>
          </rPr>
          <t xml:space="preserve">
Replace the "X" with the appropriate harvest interval for this species.  See Red Alder and Doug Fir above as examples.</t>
        </r>
      </text>
    </comment>
    <comment ref="B18" authorId="0">
      <text>
        <r>
          <rPr>
            <sz val="8"/>
            <rFont val="Tahoma"/>
            <family val="0"/>
          </rPr>
          <t xml:space="preserve">
Fill in the appropriate volume per tree for this species at the age and spacings you have designated.</t>
        </r>
      </text>
    </comment>
    <comment ref="B26" authorId="0">
      <text>
        <r>
          <rPr>
            <b/>
            <sz val="8"/>
            <rFont val="Tahoma"/>
            <family val="0"/>
          </rPr>
          <t>Carolyn J. Henri:</t>
        </r>
        <r>
          <rPr>
            <sz val="8"/>
            <rFont val="Tahoma"/>
            <family val="0"/>
          </rPr>
          <t xml:space="preserve">
Enter weight of Species #3 per MBF in TONS.</t>
        </r>
      </text>
    </comment>
    <comment ref="A27" authorId="0">
      <text>
        <r>
          <rPr>
            <b/>
            <sz val="8"/>
            <rFont val="Tahoma"/>
            <family val="0"/>
          </rPr>
          <t>Carolyn J. Henri:</t>
        </r>
        <r>
          <rPr>
            <sz val="8"/>
            <rFont val="Tahoma"/>
            <family val="0"/>
          </rPr>
          <t xml:space="preserve">
This spreadsheet should only be used for species you intend to harvest for commercial use.  You may plant a number of non-commercial trees and shrubs in your mixed forest buffer.  In that case, you would not include them in this table.</t>
        </r>
      </text>
    </comment>
    <comment ref="B55" authorId="0">
      <text>
        <r>
          <rPr>
            <b/>
            <sz val="8"/>
            <rFont val="Tahoma"/>
            <family val="0"/>
          </rPr>
          <t>Carolyn J. Henri:</t>
        </r>
        <r>
          <rPr>
            <sz val="8"/>
            <rFont val="Tahoma"/>
            <family val="0"/>
          </rPr>
          <t xml:space="preserve">
The number in this cell and the ones below are transferred to  buffer # 6, Mixed Forest Buffer (Managed) in the buffer budgets worksheet. </t>
        </r>
      </text>
    </comment>
    <comment ref="B66" authorId="0">
      <text>
        <r>
          <rPr>
            <b/>
            <sz val="8"/>
            <rFont val="Tahoma"/>
            <family val="0"/>
          </rPr>
          <t>Carolyn J. Henri:</t>
        </r>
        <r>
          <rPr>
            <sz val="8"/>
            <rFont val="Tahoma"/>
            <family val="0"/>
          </rPr>
          <t xml:space="preserve">
The number in this cell and the one below are transferred to  buffer # 6, Mixed Forest Buffer (Managed) in the buffer budgets worksheet. </t>
        </r>
      </text>
    </comment>
    <comment ref="A2" authorId="0">
      <text>
        <r>
          <rPr>
            <sz val="8"/>
            <rFont val="Tahoma"/>
            <family val="0"/>
          </rPr>
          <t xml:space="preserve">
This spreadsheet is intended to help the landowner conceptualize the volumes of timber he or she could produce under a management regime of their choosing, and the associated revenues and costs associated with harvesting a portion of that volume.  Since the resulting volumes depend so heavily on species stocking, spacing, and years chosen for harvest, among many other variables, this is intended only as an outline to help the landowner begin to think about his or her commercial timber production options.   If the landowner is NOT familiar with different species' growth patterns and viable management techniques, he/she should seek the advice of a forester on filling out this table.  Numbers produced in the Present Value boxes of this spreadsheet are transferred to the Managed Forest Buffer Table in the Buffer Budgets worksheet.   </t>
        </r>
      </text>
    </comment>
  </commentList>
</comments>
</file>

<file path=xl/comments2.xml><?xml version="1.0" encoding="utf-8"?>
<comments xmlns="http://schemas.openxmlformats.org/spreadsheetml/2006/main">
  <authors>
    <author>Carolyn J. Henri</author>
    <author>Neal Johnson</author>
  </authors>
  <commentList>
    <comment ref="G1" authorId="0">
      <text>
        <r>
          <rPr>
            <sz val="8"/>
            <rFont val="Tahoma"/>
            <family val="0"/>
          </rPr>
          <t xml:space="preserve">
In this column record salient points about the scenario so that  you remember what you modeled.  Save each scenario as a different file name in Excel.</t>
        </r>
      </text>
    </comment>
    <comment ref="A17" authorId="0">
      <text>
        <r>
          <rPr>
            <sz val="8"/>
            <rFont val="Tahoma"/>
            <family val="0"/>
          </rPr>
          <t xml:space="preserve">
Note this is the total cost of the buffer over all the years the buffer is in existence.  It is NOT an annual cost.</t>
        </r>
      </text>
    </comment>
    <comment ref="A18" authorId="0">
      <text>
        <r>
          <rPr>
            <sz val="8"/>
            <rFont val="Tahoma"/>
            <family val="0"/>
          </rPr>
          <t xml:space="preserve">
This is the number used to calculate the annual impact on the farm enterprise.  
See annualization table in Buffer Builder worksheet for more detail on annualization.</t>
        </r>
      </text>
    </comment>
    <comment ref="A19" authorId="0">
      <text>
        <r>
          <rPr>
            <sz val="8"/>
            <rFont val="Tahoma"/>
            <family val="0"/>
          </rPr>
          <t xml:space="preserve">
</t>
        </r>
        <r>
          <rPr>
            <sz val="10"/>
            <rFont val="Arial"/>
            <family val="2"/>
          </rPr>
          <t>Note:  This is the total net income/cost for the entire life of the buffer, it is NOT an annual cost.</t>
        </r>
        <r>
          <rPr>
            <sz val="8"/>
            <rFont val="Tahoma"/>
            <family val="0"/>
          </rPr>
          <t xml:space="preserve">
Calculation: </t>
        </r>
        <r>
          <rPr>
            <sz val="10"/>
            <rFont val="Arial"/>
            <family val="2"/>
          </rPr>
          <t>Total net income/cost of buffer ÷</t>
        </r>
        <r>
          <rPr>
            <sz val="10"/>
            <rFont val="Tahoma"/>
            <family val="0"/>
          </rPr>
          <t xml:space="preserve"> number of acres in the buffer</t>
        </r>
      </text>
    </comment>
    <comment ref="A13" authorId="1">
      <text>
        <r>
          <rPr>
            <b/>
            <sz val="8"/>
            <rFont val="Tahoma"/>
            <family val="0"/>
          </rPr>
          <t>Neal Johnson:</t>
        </r>
        <r>
          <rPr>
            <sz val="8"/>
            <rFont val="Tahoma"/>
            <family val="0"/>
          </rPr>
          <t xml:space="preserve">
Levelized annual return per acre is the constant annual return per acre that yields the same net present value as the non-constant annual returns.
</t>
        </r>
      </text>
    </comment>
    <comment ref="D13" authorId="0">
      <text>
        <r>
          <rPr>
            <b/>
            <sz val="8"/>
            <rFont val="Tahoma"/>
            <family val="0"/>
          </rPr>
          <t>Carolyn J. Henri:</t>
        </r>
        <r>
          <rPr>
            <sz val="8"/>
            <rFont val="Tahoma"/>
            <family val="0"/>
          </rPr>
          <t xml:space="preserve">
This  number can actually increase post-buffer if you pull productive acreage from relatively young stands (Years 1,2,3 for example).  However, if you pull from productive acreage, this number will go down.</t>
        </r>
      </text>
    </comment>
  </commentList>
</comments>
</file>

<file path=xl/comments3.xml><?xml version="1.0" encoding="utf-8"?>
<comments xmlns="http://schemas.openxmlformats.org/spreadsheetml/2006/main">
  <authors>
    <author>Carolyn J. Henri</author>
  </authors>
  <commentList>
    <comment ref="D11" authorId="0">
      <text>
        <r>
          <rPr>
            <sz val="8"/>
            <rFont val="Tahoma"/>
            <family val="0"/>
          </rPr>
          <t>This should be the number of acres you own that are in potato production.</t>
        </r>
      </text>
    </comment>
    <comment ref="D12" authorId="0">
      <text>
        <r>
          <rPr>
            <sz val="8"/>
            <rFont val="Tahoma"/>
            <family val="0"/>
          </rPr>
          <t>This should be the number of acres you lease that are in potato production.  Enter 0 if no land is leased.</t>
        </r>
      </text>
    </comment>
    <comment ref="D10" authorId="0">
      <text>
        <r>
          <rPr>
            <b/>
            <sz val="8"/>
            <rFont val="Tahoma"/>
            <family val="0"/>
          </rPr>
          <t>Carolyn J. Henri:</t>
        </r>
        <r>
          <rPr>
            <sz val="8"/>
            <rFont val="Tahoma"/>
            <family val="0"/>
          </rPr>
          <t xml:space="preserve">
Include all acreage, whether or not it is in production.</t>
        </r>
      </text>
    </comment>
    <comment ref="D4" authorId="0">
      <text>
        <r>
          <rPr>
            <b/>
            <sz val="8"/>
            <rFont val="Tahoma"/>
            <family val="0"/>
          </rPr>
          <t>Carolyn J. Henri:</t>
        </r>
        <r>
          <rPr>
            <sz val="8"/>
            <rFont val="Tahoma"/>
            <family val="0"/>
          </rPr>
          <t xml:space="preserve">
Enter a percentage of crop value</t>
        </r>
      </text>
    </comment>
    <comment ref="D14" authorId="0">
      <text>
        <r>
          <rPr>
            <b/>
            <sz val="8"/>
            <rFont val="Tahoma"/>
            <family val="0"/>
          </rPr>
          <t>Carolyn J. Henri:</t>
        </r>
        <r>
          <rPr>
            <sz val="8"/>
            <rFont val="Tahoma"/>
            <family val="0"/>
          </rPr>
          <t xml:space="preserve">
Should be based on a recent agricultural loan rate.</t>
        </r>
      </text>
    </comment>
    <comment ref="D15" authorId="0">
      <text>
        <r>
          <rPr>
            <b/>
            <sz val="8"/>
            <rFont val="Tahoma"/>
            <family val="0"/>
          </rPr>
          <t>Carolyn J. Henri:</t>
        </r>
        <r>
          <rPr>
            <sz val="8"/>
            <rFont val="Tahoma"/>
            <family val="0"/>
          </rPr>
          <t xml:space="preserve">
Should be based on a recent agricultural loan rate.</t>
        </r>
      </text>
    </comment>
    <comment ref="D13" authorId="0">
      <text>
        <r>
          <rPr>
            <b/>
            <sz val="8"/>
            <rFont val="Tahoma"/>
            <family val="0"/>
          </rPr>
          <t>Carolyn J. Henri:</t>
        </r>
        <r>
          <rPr>
            <sz val="8"/>
            <rFont val="Tahoma"/>
            <family val="0"/>
          </rPr>
          <t xml:space="preserve">
Skagit County Assessor's office 2003 levy rate.</t>
        </r>
      </text>
    </comment>
    <comment ref="D6" authorId="0">
      <text>
        <r>
          <rPr>
            <b/>
            <sz val="8"/>
            <rFont val="Tahoma"/>
            <family val="0"/>
          </rPr>
          <t>Carolyn J. Henri:</t>
        </r>
        <r>
          <rPr>
            <sz val="8"/>
            <rFont val="Tahoma"/>
            <family val="0"/>
          </rPr>
          <t xml:space="preserve">
A labor multiplier greater than one represents additional labor for setting up, calibrating and transporting the machine or vehicle to its work site.</t>
        </r>
      </text>
    </comment>
    <comment ref="B33" authorId="0">
      <text>
        <r>
          <rPr>
            <b/>
            <sz val="8"/>
            <rFont val="Tahoma"/>
            <family val="0"/>
          </rPr>
          <t>Carolyn J. Henri:</t>
        </r>
        <r>
          <rPr>
            <sz val="8"/>
            <rFont val="Tahoma"/>
            <family val="0"/>
          </rPr>
          <t xml:space="preserve">
Information for this table should be obtained from the Snohomish Conservation District (in the case of CREP) or from NRCS (in the case of EQIP, WHIP, etc).  
The default tables show impacts without cost-sharing.  If you do not plan to use cost sharing resources, then place zeros in the blue column of all but the first seven rows of this table.</t>
        </r>
      </text>
    </comment>
    <comment ref="D37" authorId="0">
      <text>
        <r>
          <rPr>
            <b/>
            <sz val="8"/>
            <rFont val="Tahoma"/>
            <family val="0"/>
          </rPr>
          <t>Carolyn J. Henri:</t>
        </r>
        <r>
          <rPr>
            <sz val="8"/>
            <rFont val="Tahoma"/>
            <family val="0"/>
          </rPr>
          <t xml:space="preserve">
Assumed this is awarded in the first year.</t>
        </r>
      </text>
    </comment>
    <comment ref="D20" authorId="0">
      <text>
        <r>
          <rPr>
            <b/>
            <sz val="8"/>
            <rFont val="Tahoma"/>
            <family val="0"/>
          </rPr>
          <t>Carolyn J. Henri:</t>
        </r>
        <r>
          <rPr>
            <sz val="8"/>
            <rFont val="Tahoma"/>
            <family val="0"/>
          </rPr>
          <t xml:space="preserve">
This value is used for discounting future costs and revenues back to present time.  </t>
        </r>
      </text>
    </comment>
    <comment ref="D21" authorId="0">
      <text>
        <r>
          <rPr>
            <b/>
            <sz val="8"/>
            <rFont val="Tahoma"/>
            <family val="0"/>
          </rPr>
          <t>Carolyn J. Henri:</t>
        </r>
        <r>
          <rPr>
            <sz val="8"/>
            <rFont val="Tahoma"/>
            <family val="0"/>
          </rPr>
          <t xml:space="preserve">
Dry tons  basis</t>
        </r>
      </text>
    </comment>
    <comment ref="D26" authorId="0">
      <text>
        <r>
          <rPr>
            <sz val="8"/>
            <rFont val="Tahoma"/>
            <family val="0"/>
          </rPr>
          <t xml:space="preserve">
PLEASE NOTE:  If you place a one in this cell, you must complete the last worksheet in this workbook, titled "Buffer Harvest Sched".  If you do not, the calculations for the harvested buffer will be incorrect.</t>
        </r>
      </text>
    </comment>
  </commentList>
</comments>
</file>

<file path=xl/comments4.xml><?xml version="1.0" encoding="utf-8"?>
<comments xmlns="http://schemas.openxmlformats.org/spreadsheetml/2006/main">
  <authors>
    <author>Carolyn J. Henri</author>
  </authors>
  <commentList>
    <comment ref="D36" authorId="0">
      <text>
        <r>
          <rPr>
            <b/>
            <sz val="8"/>
            <rFont val="Tahoma"/>
            <family val="0"/>
          </rPr>
          <t>Carolyn J. Henri:</t>
        </r>
        <r>
          <rPr>
            <sz val="8"/>
            <rFont val="Tahoma"/>
            <family val="0"/>
          </rPr>
          <t xml:space="preserve">
Enter the cost per acre PER mowing episode.  </t>
        </r>
      </text>
    </comment>
    <comment ref="B45" authorId="0">
      <text>
        <r>
          <rPr>
            <b/>
            <sz val="8"/>
            <rFont val="Tahoma"/>
            <family val="0"/>
          </rPr>
          <t>Carolyn J. Henri:</t>
        </r>
        <r>
          <rPr>
            <sz val="8"/>
            <rFont val="Tahoma"/>
            <family val="0"/>
          </rPr>
          <t xml:space="preserve">
Timber prices are estimates only and should be replaced with real quotes, if available.  The default prices are averages taken from Log Lines (April 2003), a timber price publication for Washington State.
The issue used for these calculations is reproduced at the bottom of this spread sheet.</t>
        </r>
      </text>
    </comment>
    <comment ref="D16" authorId="0">
      <text>
        <r>
          <rPr>
            <b/>
            <sz val="8"/>
            <rFont val="Tahoma"/>
            <family val="0"/>
          </rPr>
          <t>Carolyn J. Henri:</t>
        </r>
        <r>
          <rPr>
            <sz val="8"/>
            <rFont val="Tahoma"/>
            <family val="0"/>
          </rPr>
          <t xml:space="preserve">
This is also the rate at which owner labor is calculated for the purpose of estimating machinery labor costs.</t>
        </r>
      </text>
    </comment>
    <comment ref="D37" authorId="0">
      <text>
        <r>
          <rPr>
            <sz val="8"/>
            <rFont val="Tahoma"/>
            <family val="0"/>
          </rPr>
          <t xml:space="preserve">
Enter the weeding cost per acre PER year.  $350.00 per acre per year represents the mid- to lower range of many estimates.  Exact costs will vary from site to site depending on buffer access and content, and materials and equipment permitted in the riparian area.  For example, a backpack spray application of herbicide three times a year would be much more costly than this estimate, while machine mowing would be much cheaper.     
</t>
        </r>
      </text>
    </comment>
    <comment ref="D27" authorId="0">
      <text>
        <r>
          <rPr>
            <sz val="8"/>
            <rFont val="Tahoma"/>
            <family val="0"/>
          </rPr>
          <t xml:space="preserve">
Note this price is on a WET ton basis.  To convert to dry tones multiply the wet ton price by .4943.  You must also adjust the production per acre to a dry ton basis as well.  This number is located on the Farm and Buffer Assumptions worksheet. </t>
        </r>
      </text>
    </comment>
    <comment ref="D41" authorId="0">
      <text>
        <r>
          <rPr>
            <sz val="8"/>
            <rFont val="Tahoma"/>
            <family val="0"/>
          </rPr>
          <t xml:space="preserve">
Cost includes loading it on truck.  </t>
        </r>
      </text>
    </comment>
    <comment ref="D26" authorId="0">
      <text>
        <r>
          <rPr>
            <b/>
            <sz val="8"/>
            <rFont val="Tahoma"/>
            <family val="0"/>
          </rPr>
          <t>Carolyn J. Henri:</t>
        </r>
        <r>
          <rPr>
            <sz val="8"/>
            <rFont val="Tahoma"/>
            <family val="0"/>
          </rPr>
          <t xml:space="preserve">
Price at farm gate; does not include trucking.</t>
        </r>
      </text>
    </comment>
    <comment ref="D21" authorId="0">
      <text>
        <r>
          <rPr>
            <sz val="8"/>
            <rFont val="Tahoma"/>
            <family val="0"/>
          </rPr>
          <t xml:space="preserve">
Check with Farm Service Agency for rental rate on your soil type.  Rates differ widely and in general are less for grazing land than for prime crop land due to poorer soil quality.</t>
        </r>
      </text>
    </comment>
  </commentList>
</comments>
</file>

<file path=xl/sharedStrings.xml><?xml version="1.0" encoding="utf-8"?>
<sst xmlns="http://schemas.openxmlformats.org/spreadsheetml/2006/main" count="1989" uniqueCount="870">
  <si>
    <t>May - Apply fungicide</t>
  </si>
  <si>
    <t>June - Apply ins./fungicide</t>
  </si>
  <si>
    <t>Non-machinery establishment inputs in year 2</t>
  </si>
  <si>
    <t>July - Harvest 2T/acre</t>
  </si>
  <si>
    <r>
      <t xml:space="preserve">Wash Ag Stats Skagit County 4 year average 1998-2001. </t>
    </r>
    <r>
      <rPr>
        <b/>
        <sz val="10"/>
        <color indexed="10"/>
        <rFont val="Arial"/>
        <family val="2"/>
      </rPr>
      <t>NEEDS UPDATING TO SKAGIT CO.</t>
    </r>
  </si>
  <si>
    <t>Red Raspberry Input List and Prices</t>
  </si>
  <si>
    <t>RASPBERRY ACREAGE ALLOCATION W/ BUFFERS</t>
  </si>
  <si>
    <t>ENTER CURRENT RED RASPBERRY ACREAGE IN COLUMN B AND PLANNED ACREAGE ADDITIONS IN ROW 7</t>
  </si>
  <si>
    <t>RED RASPBERRY ACREAGE ALLOCATION</t>
  </si>
  <si>
    <t>Total Acreage in Blueberries</t>
  </si>
  <si>
    <t>TOTAL NON-MACHINERY VARIABLE COSTS</t>
  </si>
  <si>
    <t>MACHINERY AND INVESTMENT VARIABLE COSTS PER ACRE</t>
  </si>
  <si>
    <t>MACHINERY AND INVESTMENT FIXED COSTS</t>
  </si>
  <si>
    <t>TOTAL MACHINERY AND INVESTMENT VARIABLE COSTS</t>
  </si>
  <si>
    <t>Annual capital recovery</t>
  </si>
  <si>
    <t>Annual insurance</t>
  </si>
  <si>
    <t>Machine housing</t>
  </si>
  <si>
    <t>TOTAL MACHINERY AND INVESTMENT FIXED COSTS</t>
  </si>
  <si>
    <t>NET RETURNS TO MANAGEMENT AND LAND</t>
  </si>
  <si>
    <t>TOTAL VARIABLE AND FIXED COSTS</t>
  </si>
  <si>
    <t>Present Value of Projected Annual Returns</t>
  </si>
  <si>
    <t>Sum of Present Values</t>
  </si>
  <si>
    <t>Gross Income, year 1</t>
  </si>
  <si>
    <t>Link to grass silage buffer budget is incorrect.</t>
  </si>
  <si>
    <t>Fencing, too.</t>
  </si>
  <si>
    <t>Move to input list</t>
  </si>
  <si>
    <t>BUFFER SCENARIO -- SPECIFY ACREAGE CHANGES</t>
  </si>
  <si>
    <t>Total Acreage in Raspberries</t>
  </si>
  <si>
    <t>RASPBERRIES</t>
  </si>
  <si>
    <t>YIELD PER ACRE (POUNDS)</t>
  </si>
  <si>
    <t>TOTAL YIELD (POUNDS)</t>
  </si>
  <si>
    <t>PRICE PER POUND</t>
  </si>
  <si>
    <t>Taxes (Land)</t>
  </si>
  <si>
    <t>Fertilizer 5-20-25</t>
  </si>
  <si>
    <t>kg.</t>
  </si>
  <si>
    <t>Decis</t>
  </si>
  <si>
    <t>litre</t>
  </si>
  <si>
    <t>Funginex</t>
  </si>
  <si>
    <t>Topas</t>
  </si>
  <si>
    <t>Velpar</t>
  </si>
  <si>
    <t>oz.</t>
  </si>
  <si>
    <t>Sawdust</t>
  </si>
  <si>
    <t>units</t>
  </si>
  <si>
    <t>Harvest labor - per lb for blueberries</t>
  </si>
  <si>
    <t>Machine labor</t>
  </si>
  <si>
    <t>Blueberry pruning</t>
  </si>
  <si>
    <t>hr.</t>
  </si>
  <si>
    <t>Bird control</t>
  </si>
  <si>
    <t>28 hp diesel tractor</t>
  </si>
  <si>
    <t>Equipment Operating Costs</t>
  </si>
  <si>
    <t>Allocation for This Enterprise (%)</t>
  </si>
  <si>
    <t>HP</t>
  </si>
  <si>
    <t>Planter, 4 Row</t>
  </si>
  <si>
    <t>Water &amp; Electricity</t>
  </si>
  <si>
    <t>Subtotal Vehicles</t>
  </si>
  <si>
    <t>Need fuel, oil formula from Smathers.</t>
  </si>
  <si>
    <r>
      <t xml:space="preserve">Total Annual Use </t>
    </r>
    <r>
      <rPr>
        <b/>
        <i/>
        <sz val="11"/>
        <rFont val="Arial"/>
        <family val="2"/>
      </rPr>
      <t>hrs.</t>
    </r>
  </si>
  <si>
    <r>
      <t xml:space="preserve">Total Annual Labor </t>
    </r>
    <r>
      <rPr>
        <b/>
        <i/>
        <sz val="11"/>
        <rFont val="Arial"/>
        <family val="2"/>
      </rPr>
      <t>hrs.</t>
    </r>
  </si>
  <si>
    <r>
      <t xml:space="preserve">Total Annual Use </t>
    </r>
    <r>
      <rPr>
        <b/>
        <i/>
        <sz val="11"/>
        <rFont val="Arial"/>
        <family val="2"/>
      </rPr>
      <t>mi.</t>
    </r>
  </si>
  <si>
    <t>Air Blast Sprayer</t>
  </si>
  <si>
    <t>Fertilizer Applicator</t>
  </si>
  <si>
    <t>1.5 Ton Truck (used)</t>
  </si>
  <si>
    <t>Sprinkler heads, lateral pipe, main line &amp; risers</t>
  </si>
  <si>
    <t>Pump and motor</t>
  </si>
  <si>
    <t>Well</t>
  </si>
  <si>
    <t>Hours This Enterprise</t>
  </si>
  <si>
    <t>Doesn't this double count if a tractor is also used?</t>
  </si>
  <si>
    <t>TLC</t>
  </si>
  <si>
    <t>per acre</t>
  </si>
  <si>
    <t>Hive rental</t>
  </si>
  <si>
    <t>hive</t>
  </si>
  <si>
    <t>Fuel</t>
  </si>
  <si>
    <t>Irrigation/water</t>
  </si>
  <si>
    <t>Marketing</t>
  </si>
  <si>
    <t>Captan 75 DF</t>
  </si>
  <si>
    <t>Contract spraying</t>
  </si>
  <si>
    <t>Contract mowing</t>
  </si>
  <si>
    <t>Blueberry plants</t>
  </si>
  <si>
    <t>Cover crop</t>
  </si>
  <si>
    <t>Drainage</t>
  </si>
  <si>
    <t>Irrigation system</t>
  </si>
  <si>
    <t>Trellis</t>
  </si>
  <si>
    <t>Planting labor</t>
  </si>
  <si>
    <t>Unit</t>
  </si>
  <si>
    <t>$/unit</t>
  </si>
  <si>
    <t>Quantity</t>
  </si>
  <si>
    <t>Total</t>
  </si>
  <si>
    <t>Grass Silage</t>
  </si>
  <si>
    <t>tons</t>
  </si>
  <si>
    <t>Grass Hay</t>
  </si>
  <si>
    <t>ton</t>
  </si>
  <si>
    <t>TOTAL GROSS INCOME</t>
  </si>
  <si>
    <t>Grass seed</t>
  </si>
  <si>
    <t>acre</t>
  </si>
  <si>
    <t xml:space="preserve">  46-0-0</t>
  </si>
  <si>
    <t xml:space="preserve">  18-18-18</t>
  </si>
  <si>
    <t xml:space="preserve">   0-0-60</t>
  </si>
  <si>
    <t xml:space="preserve">  11-52-0</t>
  </si>
  <si>
    <t>Other:</t>
  </si>
  <si>
    <t>Operator management</t>
  </si>
  <si>
    <t>TOTAL COSTS</t>
  </si>
  <si>
    <t>NET PROJECTED RETURNS</t>
  </si>
  <si>
    <t>Item</t>
  </si>
  <si>
    <t>Purchase Price US$ (Unit)</t>
  </si>
  <si>
    <t>Market Value</t>
  </si>
  <si>
    <t>Salvage Value</t>
  </si>
  <si>
    <t>Useful Life (yrs)</t>
  </si>
  <si>
    <t>Annual Insurance</t>
  </si>
  <si>
    <t>Total Investment</t>
  </si>
  <si>
    <t>Farm Machinery Compliment**</t>
  </si>
  <si>
    <t>Repairs</t>
  </si>
  <si>
    <t>Fuel/Oil</t>
  </si>
  <si>
    <t xml:space="preserve">Total </t>
  </si>
  <si>
    <r>
      <t>** Smathers, Robert "</t>
    </r>
    <r>
      <rPr>
        <sz val="10"/>
        <rFont val="Arial"/>
        <family val="2"/>
      </rPr>
      <t>Costs of Owning and Operating Farm Machinery in the Pacific Northwest" 2000</t>
    </r>
    <r>
      <rPr>
        <sz val="10"/>
        <rFont val="Arial"/>
        <family val="0"/>
      </rPr>
      <t>, 2001, U of Idaho</t>
    </r>
  </si>
  <si>
    <t>FARM ASSUMPTIONS</t>
  </si>
  <si>
    <t>Explanation/Source of Information</t>
  </si>
  <si>
    <t>Capital and Land</t>
  </si>
  <si>
    <t>Total acreage of Farmstead (Owned)</t>
  </si>
  <si>
    <t>acres</t>
  </si>
  <si>
    <t># of owned acres in production</t>
  </si>
  <si>
    <t xml:space="preserve"># of LEASED acres in production </t>
  </si>
  <si>
    <t>Property Tax rate</t>
  </si>
  <si>
    <t>%</t>
  </si>
  <si>
    <t>Interest rate on Capital Investments</t>
  </si>
  <si>
    <t>Insurance rate on Capital Equipment and Buildings</t>
  </si>
  <si>
    <t>BUFFER ASSUMPTIONS</t>
  </si>
  <si>
    <t>Buffer Assumptions</t>
  </si>
  <si>
    <t>Hay Yield</t>
  </si>
  <si>
    <t>Years</t>
  </si>
  <si>
    <t>Typical western Washington practice</t>
  </si>
  <si>
    <t>trees/acre</t>
  </si>
  <si>
    <t>FEDERAL-STATE COST SHARING PROGRAM ASSUMPTIONS</t>
  </si>
  <si>
    <t>Assumption</t>
  </si>
  <si>
    <t>Cost share program contract length</t>
  </si>
  <si>
    <t>years</t>
  </si>
  <si>
    <t>One-time sign-up bonus</t>
  </si>
  <si>
    <t>$</t>
  </si>
  <si>
    <t>This should be a per-ACRE amount</t>
  </si>
  <si>
    <t>Installation cost share</t>
  </si>
  <si>
    <t>Maintenance cost share</t>
  </si>
  <si>
    <t>(Y/N)</t>
  </si>
  <si>
    <t xml:space="preserve"> '1' if yes or '0' if no </t>
  </si>
  <si>
    <t>FARM AND BUFFER INPUT PRICES</t>
  </si>
  <si>
    <t>Farm Prices</t>
  </si>
  <si>
    <t>Explanation</t>
  </si>
  <si>
    <t>Source</t>
  </si>
  <si>
    <t xml:space="preserve">Price received by growers.  4 year annual avg. Snohomish County 1998-2001 </t>
  </si>
  <si>
    <t>WAS 2002*</t>
  </si>
  <si>
    <t>Wet tons; price received by grower</t>
  </si>
  <si>
    <t>lb.</t>
  </si>
  <si>
    <t>CENEX 2/3/03</t>
  </si>
  <si>
    <t>Hired Labor</t>
  </si>
  <si>
    <t>Hour</t>
  </si>
  <si>
    <t>Includes benefits</t>
  </si>
  <si>
    <t>Farmland market value</t>
  </si>
  <si>
    <t>Price per acre sold as ag land, not for other uses</t>
  </si>
  <si>
    <t>1997 Ag Census</t>
  </si>
  <si>
    <t>Farmland assessed value</t>
  </si>
  <si>
    <t>Ag land rental rate</t>
  </si>
  <si>
    <t>*Washington Agricultural Statistics (WAS)</t>
  </si>
  <si>
    <t>Buffer Prices</t>
  </si>
  <si>
    <t>Hay seed</t>
  </si>
  <si>
    <t xml:space="preserve"> (1) 25 lb. Bag/acre @39.00/bag</t>
  </si>
  <si>
    <t>CENEX</t>
  </si>
  <si>
    <t>Trees and Shrub Planting</t>
  </si>
  <si>
    <t>Avg.= 1.90/tree incl. material and labor to plant, 500 trees per acre.</t>
  </si>
  <si>
    <t>NRCS Greg Fisher; Jenny Baker, Snohomish CD</t>
  </si>
  <si>
    <t>Cost Range: $400-$735 per acre.  Total amount includes tubing, stakes and installation labor.  Sources: NRCS Greg Fisher, Jenny Baker, Snohomish CD</t>
  </si>
  <si>
    <t>Fencing</t>
  </si>
  <si>
    <t>Lineal Ft.</t>
  </si>
  <si>
    <t>NRCS 2003 Cost List</t>
  </si>
  <si>
    <t>Site Preparation (buffer)</t>
  </si>
  <si>
    <t>brush clearing + hygrotill + before and after herbicide spray</t>
  </si>
  <si>
    <t>NRCS 2003 Cost List; Greg Fisher; Al Craney (Skagit CD)</t>
  </si>
  <si>
    <t>Mowing cost</t>
  </si>
  <si>
    <t xml:space="preserve">grass strip </t>
  </si>
  <si>
    <t>Sohngen et al, 1999</t>
  </si>
  <si>
    <t>Weed control in buffer area</t>
  </si>
  <si>
    <t>herbicide application or hand slash</t>
  </si>
  <si>
    <t>Tree thinning cost</t>
  </si>
  <si>
    <t>Light thin (&lt;300 tpa)</t>
  </si>
  <si>
    <t>Tree pruning cost (1st lift)</t>
  </si>
  <si>
    <t>Merwin et al</t>
  </si>
  <si>
    <t>Tree pruning cost (2nd lift)</t>
  </si>
  <si>
    <t>Harvest costs (hay &amp; grass silage)</t>
  </si>
  <si>
    <t>acre/yr</t>
  </si>
  <si>
    <t>includes average of 4 harvests per year</t>
  </si>
  <si>
    <t>Hauling costs (trees)</t>
  </si>
  <si>
    <t>LOG LINES Log Price Reporting Service</t>
  </si>
  <si>
    <t>Telephone</t>
  </si>
  <si>
    <t>360 336-6850</t>
  </si>
  <si>
    <t>P.O. Box 2215</t>
  </si>
  <si>
    <t>Fax</t>
  </si>
  <si>
    <t>360 336-2624</t>
  </si>
  <si>
    <t>Mount Vernon, WA  98273</t>
  </si>
  <si>
    <t>E-mail</t>
  </si>
  <si>
    <t>loglines@fidalgo.net</t>
  </si>
  <si>
    <t>APRIL 2003</t>
  </si>
  <si>
    <t>R E G I O N   1: Puget Sound</t>
  </si>
  <si>
    <t>Change</t>
  </si>
  <si>
    <t xml:space="preserve"> </t>
  </si>
  <si>
    <t>month</t>
  </si>
  <si>
    <t>year</t>
  </si>
  <si>
    <t>Species</t>
  </si>
  <si>
    <t>High</t>
  </si>
  <si>
    <t>Avg</t>
  </si>
  <si>
    <t>Low</t>
  </si>
  <si>
    <t>to date</t>
  </si>
  <si>
    <t>Prices reported during the second half of March 2003 $/Mbf</t>
  </si>
  <si>
    <t>DOUGLAS-FIR/EXPORT</t>
  </si>
  <si>
    <t>RED CEDAR</t>
  </si>
  <si>
    <t>Japan 12"</t>
  </si>
  <si>
    <t>#3 Sawmill</t>
  </si>
  <si>
    <t>Japan 8"</t>
  </si>
  <si>
    <t>#4 Sawmill</t>
  </si>
  <si>
    <t>--</t>
  </si>
  <si>
    <t>China 12 High</t>
  </si>
  <si>
    <t>China 12 Low</t>
  </si>
  <si>
    <t>RED ALDER</t>
  </si>
  <si>
    <t>Korea 8</t>
  </si>
  <si>
    <t>#2 Sawmill</t>
  </si>
  <si>
    <t>DOUGLAS-FIR/DOMESTIC</t>
  </si>
  <si>
    <t>Pulp</t>
  </si>
  <si>
    <t>Pulp, $/ton</t>
  </si>
  <si>
    <t>MAPLE</t>
  </si>
  <si>
    <t>Chip &amp; Saw 5"</t>
  </si>
  <si>
    <t>Chip &amp; Saw, $/ton</t>
  </si>
  <si>
    <t>WHITEWOODS/EXPORT</t>
  </si>
  <si>
    <t>COTTONWOOD</t>
  </si>
  <si>
    <t>China 12</t>
  </si>
  <si>
    <t>WHITEWOODS/DOMESTIC</t>
  </si>
  <si>
    <t>Douglas Fir (domestic)</t>
  </si>
  <si>
    <t>White woods (domestic)</t>
  </si>
  <si>
    <t>Hardwoods (RA and Maple)</t>
  </si>
  <si>
    <t>Seed</t>
  </si>
  <si>
    <t>CENEX 8/21/03</t>
  </si>
  <si>
    <t>This is the PER ACRE value used to assess property taxes (based on Sno County Assessor appraisal of your farm)</t>
  </si>
  <si>
    <t>Pesticide</t>
  </si>
  <si>
    <t>Local Stilly Dairy</t>
  </si>
  <si>
    <t>Farm Service Agency Everett</t>
  </si>
  <si>
    <t>Avg. based on predominate soil types in ag areas</t>
  </si>
  <si>
    <t>based on avg. 40 mile haul</t>
  </si>
  <si>
    <t>Log truck cos. Sno/Skagit Counties</t>
  </si>
  <si>
    <t>Herbicide</t>
  </si>
  <si>
    <t>Custom truck application of liquid manure</t>
  </si>
  <si>
    <t>Acres</t>
  </si>
  <si>
    <t>Pacific Pumping Mt. Vernon</t>
  </si>
  <si>
    <t>gal.</t>
  </si>
  <si>
    <t>Soil Sample Test</t>
  </si>
  <si>
    <t>1 test</t>
  </si>
  <si>
    <t>TRACTORS</t>
  </si>
  <si>
    <t>HARVEST EQUIPMENT</t>
  </si>
  <si>
    <t>TILLAGE EQUIPMENT</t>
  </si>
  <si>
    <t>Field cultivator</t>
  </si>
  <si>
    <t>PLANTING EQUIPMENT</t>
  </si>
  <si>
    <t>OTHER EQUIPMENT</t>
  </si>
  <si>
    <t>Irrigation System</t>
  </si>
  <si>
    <t>Labor</t>
  </si>
  <si>
    <t>Machine Housing</t>
  </si>
  <si>
    <t>Taxes</t>
  </si>
  <si>
    <t>Gasoline</t>
  </si>
  <si>
    <t>Diesel</t>
  </si>
  <si>
    <t>Fuel Consumption mi/gal</t>
  </si>
  <si>
    <t>Vehicles</t>
  </si>
  <si>
    <t>Other Investments</t>
  </si>
  <si>
    <t>Vehicle Housing</t>
  </si>
  <si>
    <t>Useful Life (yrs.)</t>
  </si>
  <si>
    <t>Fixed Cost Allocation for This Enterprise (%)</t>
  </si>
  <si>
    <t>Equipment Fixed Costs</t>
  </si>
  <si>
    <t>Variable Costs This Enterprise</t>
  </si>
  <si>
    <t>TOTAL MACHINE AND VEHICLE VARIABLE COSTS THIS ENTERPRISE</t>
  </si>
  <si>
    <t>Per Acre</t>
  </si>
  <si>
    <t>Subtotals Machinery and Equipment</t>
  </si>
  <si>
    <t>Crop and Management Assumptions</t>
  </si>
  <si>
    <t>Owner Management Fee</t>
  </si>
  <si>
    <t>Percent</t>
  </si>
  <si>
    <t>Machinery Labor Cost Calculation</t>
  </si>
  <si>
    <t>Total Machine Hours Used in This Enterprise</t>
  </si>
  <si>
    <t>Labor Multiplier</t>
  </si>
  <si>
    <t>Wage</t>
  </si>
  <si>
    <t>Total Machine Labor Cost</t>
  </si>
  <si>
    <t>Cost per acre</t>
  </si>
  <si>
    <t>Storage related production losses</t>
  </si>
  <si>
    <t>Interest rate on Operating Capital</t>
  </si>
  <si>
    <t>Land Rent</t>
  </si>
  <si>
    <t>Machinery Labor Multiplier</t>
  </si>
  <si>
    <t>#</t>
  </si>
  <si>
    <t>Multi-Zone Buffer Builder (a.k.a. "Build Your Own Buffers")</t>
  </si>
  <si>
    <t>Amount</t>
  </si>
  <si>
    <t>Type 1</t>
  </si>
  <si>
    <t>lineal feet</t>
  </si>
  <si>
    <t>Type 2</t>
  </si>
  <si>
    <t>Type 3</t>
  </si>
  <si>
    <t xml:space="preserve">Type 4 </t>
  </si>
  <si>
    <t>Type 5</t>
  </si>
  <si>
    <t>Type 9</t>
  </si>
  <si>
    <t xml:space="preserve">Fencing cost per lineal foot: </t>
  </si>
  <si>
    <t>3) Select treatment for Type 1 watercourses</t>
  </si>
  <si>
    <t>Buffer Type</t>
  </si>
  <si>
    <t>Avg Width (ft.)</t>
  </si>
  <si>
    <t>Setback (no-touch, no planting)</t>
  </si>
  <si>
    <t>Grass filterstrip (no harvest)</t>
  </si>
  <si>
    <t>Grass Silage (managed)</t>
  </si>
  <si>
    <t>Hay (managed)</t>
  </si>
  <si>
    <t>Shrub (no touch)</t>
  </si>
  <si>
    <t>Mixed forest (no touch)</t>
  </si>
  <si>
    <t>Mixed forest (managed)</t>
  </si>
  <si>
    <t>Total buffer width and acreage Type 1 watercourses</t>
  </si>
  <si>
    <t>4) Select treatment for Type 2 watercourses</t>
  </si>
  <si>
    <t>Total buffer width and acreage Type 2 watercourses</t>
  </si>
  <si>
    <t>5) Select treatment for Type 3 watercourses</t>
  </si>
  <si>
    <t>Total buffer width and acreage Type 3 watercourses</t>
  </si>
  <si>
    <t>6) Select treatment for Type 4 watercourses</t>
  </si>
  <si>
    <t>Total buffer width and acreage Type 4 watercourses</t>
  </si>
  <si>
    <t>7) Select treatment for Type 5 watercourses</t>
  </si>
  <si>
    <t>Total buffer width and acreage Type 5 watercourses</t>
  </si>
  <si>
    <t>8) Select treatment for Type 9 watercourses</t>
  </si>
  <si>
    <t>Total buffer width and acreage Type 9 watercourses</t>
  </si>
  <si>
    <t>Buffer Acreage Summary</t>
  </si>
  <si>
    <t>Total acreage in buffer</t>
  </si>
  <si>
    <t>check</t>
  </si>
  <si>
    <t>Number of buffer acres no-touch</t>
  </si>
  <si>
    <t>Number of buffer acres managed or accessible</t>
  </si>
  <si>
    <r>
      <t xml:space="preserve">2) </t>
    </r>
    <r>
      <rPr>
        <sz val="11"/>
        <rFont val="Arial"/>
        <family val="2"/>
      </rPr>
      <t>Of the total in 1), how many lineal feet will require fencing?:</t>
    </r>
  </si>
  <si>
    <t>PER ACRE Buffer Budgets (seven different buffer types)</t>
  </si>
  <si>
    <t>Year</t>
  </si>
  <si>
    <t>#1 Setback Buffer* Income and Costs PER ACRE</t>
  </si>
  <si>
    <t>Year**</t>
  </si>
  <si>
    <t>Total (PV)***</t>
  </si>
  <si>
    <t>Data Source/Comments</t>
  </si>
  <si>
    <t>Cash Flow</t>
  </si>
  <si>
    <t>Income</t>
  </si>
  <si>
    <t>Installation Cost Share Payment</t>
  </si>
  <si>
    <t xml:space="preserve">  Install Cost Share</t>
  </si>
  <si>
    <t>Maintenance Cost Share Payment</t>
  </si>
  <si>
    <t xml:space="preserve">  Maint Cost Share</t>
  </si>
  <si>
    <t>Annual Land Rental Cost Share Payment</t>
  </si>
  <si>
    <t xml:space="preserve">  Land Rental Pmt</t>
  </si>
  <si>
    <t>Sign-Up or other one-time bonus</t>
  </si>
  <si>
    <t xml:space="preserve">  Sign Up Bonus</t>
  </si>
  <si>
    <t>Buffer Total Gross Income</t>
  </si>
  <si>
    <t>Installation Cost</t>
  </si>
  <si>
    <t>Maintenance Cost</t>
  </si>
  <si>
    <t>Installation Costs</t>
  </si>
  <si>
    <t>Net</t>
  </si>
  <si>
    <t>Survey and Stake buffer area</t>
  </si>
  <si>
    <t>Subtotal Installation Costs</t>
  </si>
  <si>
    <t>100 Yr CF Comparison</t>
  </si>
  <si>
    <t>Maintenance Costs</t>
  </si>
  <si>
    <t>Maint cost share weeds</t>
  </si>
  <si>
    <t xml:space="preserve">Weed Control </t>
  </si>
  <si>
    <t>Indefinite</t>
  </si>
  <si>
    <t>mechanical/hand/chemical Range: $300-700/acre</t>
  </si>
  <si>
    <t>Subtotal Maintenance Costs</t>
  </si>
  <si>
    <t>Install Costs</t>
  </si>
  <si>
    <t>Total Buffer Cost****</t>
  </si>
  <si>
    <t>Maint cost weeds (100 years worth)</t>
  </si>
  <si>
    <t>Buffer Net Present Value</t>
  </si>
  <si>
    <t>Check</t>
  </si>
  <si>
    <t>**Year in which the income or cost occurs</t>
  </si>
  <si>
    <t>Difference w/ my model</t>
  </si>
  <si>
    <t>*** In the event the income or cost is recurrent over more than one year  future revenues and costs are converted to their Present Value</t>
  </si>
  <si>
    <t>#2 Grass Filter Strip* Income and Costs  PER ACRE</t>
  </si>
  <si>
    <t>Assumed to be one-time costs</t>
  </si>
  <si>
    <t>Site Preparation (Brush clearing, initial weed control)</t>
  </si>
  <si>
    <t>Range $500-$1,200, Al Craney, Skagit CD</t>
  </si>
  <si>
    <t>Assume no maintenance cost or cost-sharing in the year of installation.</t>
  </si>
  <si>
    <t>Grass filter strip installation (NRCS practice 393)</t>
  </si>
  <si>
    <t>100 Yr.  NPV Comparison</t>
  </si>
  <si>
    <t>Maint cost share</t>
  </si>
  <si>
    <t>Mowing (grass)</t>
  </si>
  <si>
    <t>Mow twice/year @ 50.00/acre each time</t>
  </si>
  <si>
    <t>#3 Hay Buffer* Income and Costs PER ACRE</t>
  </si>
  <si>
    <t>Hay income</t>
  </si>
  <si>
    <t xml:space="preserve">  Hay revenue</t>
  </si>
  <si>
    <t>Sub-total Buffer Total Gross Income</t>
  </si>
  <si>
    <t>Maintenance/Operations Cost</t>
  </si>
  <si>
    <t>Installation Costs^</t>
  </si>
  <si>
    <t>Tillage (labor and equipment)</t>
  </si>
  <si>
    <t>Fertilizer</t>
  </si>
  <si>
    <t>BC Ministry of Ag</t>
  </si>
  <si>
    <t>Maint cost share payment</t>
  </si>
  <si>
    <t>Maintenance/Operational Costs</t>
  </si>
  <si>
    <t>Hay revenue</t>
  </si>
  <si>
    <t>Fertilizer is applied every year in the spring; BC Ministry of Ag</t>
  </si>
  <si>
    <t>Harvest</t>
  </si>
  <si>
    <t>Harvest 4 times per year.  Total ANNUAL harvest cost per acre is $160.00</t>
  </si>
  <si>
    <t>Maint/operational cost (100 yrs.)</t>
  </si>
  <si>
    <t>Tilling occurs every four years after initial establishment.</t>
  </si>
  <si>
    <t>Hay is reseeded every four years after establishment.</t>
  </si>
  <si>
    <t>**Year(s) in which the income or cost occurs</t>
  </si>
  <si>
    <t xml:space="preserve">^All installation costs occur in the first year the buffer is established.  </t>
  </si>
  <si>
    <t>#4 Shrub Buffer* Income and Costs PER ACRE</t>
  </si>
  <si>
    <t>Buffer Gross Income</t>
  </si>
  <si>
    <t>Maintenance Cost Share Payment (weed control)</t>
  </si>
  <si>
    <t>Maintenance Cost Share Payment (re-planting)</t>
  </si>
  <si>
    <t xml:space="preserve">  Maint Cost Share (weed)</t>
  </si>
  <si>
    <t xml:space="preserve">  Maint Cost Share (replant)</t>
  </si>
  <si>
    <t>Maintenance Cost (weed)</t>
  </si>
  <si>
    <t xml:space="preserve">Site Preparation </t>
  </si>
  <si>
    <t>Cost range $500-1,200/acre, Includes brush clearing, weed control, hygrotilling.  Sources: NRCS Greg Fisher, Al Craney, Skagit CD</t>
  </si>
  <si>
    <t>Maintenance Cost (replant)</t>
  </si>
  <si>
    <t>Shrub Seedling &amp; Planting</t>
  </si>
  <si>
    <t>Planting density 500 shrubs per acre; costs range from $200-$750 per acre depending on the type and size of plant stock used. Sources: shrub stock assumed to be half the cost of CREP planting stock.</t>
  </si>
  <si>
    <t>Shrub protectors + installation</t>
  </si>
  <si>
    <t>Cost Range: $400-$735 per acre for 500 plants.  Total amount includes tubing, stakes and installation labor.  Sources: NRCS Greg Fisher, Jenny Baker, Snohomish CD.  Assume 2/3 of stock would be tubed.</t>
  </si>
  <si>
    <t>mechanical/hand/chemical; Range: $300- $700/acre Source:  Tim Miller, WSU Mt. Vernon</t>
  </si>
  <si>
    <t>Re-planting shrubs^</t>
  </si>
  <si>
    <t>Assumes 7% shrub mortality</t>
  </si>
  <si>
    <t>Maint cost weeds</t>
  </si>
  <si>
    <t>replant cost</t>
  </si>
  <si>
    <t>**Year or years in which the income or cost occurs</t>
  </si>
  <si>
    <t>^Shrub mortality caused by wildlife browsing, drought, flood and storm damage</t>
  </si>
  <si>
    <t>#5 Mixed Forest* Buffer Income and Costs (no-touch) PER ACRE</t>
  </si>
  <si>
    <t>Tree/shrub Seedling &amp; Planting</t>
  </si>
  <si>
    <t xml:space="preserve">Planting density 500 trees per acre; costs range from $400-$1500 per acre depending on the type and size of seeding stock used. Sources: NRCS Greg Fisher, Jenny Baker, Snohomish CD </t>
  </si>
  <si>
    <t>Seedling protectors + installation</t>
  </si>
  <si>
    <t>Re-planting trees/shrubs^</t>
  </si>
  <si>
    <t>Assumes 10% tree mortality</t>
  </si>
  <si>
    <t>**Year or period of years in which the income or cost occurs</t>
  </si>
  <si>
    <t>^Tree mortality caused by wildlife browsing, drought, flood and storm damage</t>
  </si>
  <si>
    <t xml:space="preserve"> #6 Mixed Forest Buffer* Income and Costs (managed) PER ACRE</t>
  </si>
  <si>
    <t xml:space="preserve">  Maint Cost Share (weed cont)</t>
  </si>
  <si>
    <t>Thinning revenue</t>
  </si>
  <si>
    <t>MBF</t>
  </si>
  <si>
    <t>Hardwood timber revenue</t>
  </si>
  <si>
    <t xml:space="preserve">  Thinning revenue</t>
  </si>
  <si>
    <t>Coniferous timber revenue</t>
  </si>
  <si>
    <t xml:space="preserve">  Hardwood harvest income</t>
  </si>
  <si>
    <t>Total Buffer Gross Income</t>
  </si>
  <si>
    <t xml:space="preserve">  Softwood harvest income</t>
  </si>
  <si>
    <t>Costs</t>
  </si>
  <si>
    <t xml:space="preserve">  Installation </t>
  </si>
  <si>
    <t xml:space="preserve">  Weed control</t>
  </si>
  <si>
    <t xml:space="preserve">  Replanting</t>
  </si>
  <si>
    <t>Cost Range: $400-$735.  Total amount includes tubing, stakes and installation labor.  Sources: NRCS Greg Fisher, Jenny Baker, Snohomish CD</t>
  </si>
  <si>
    <t xml:space="preserve">  Thinning</t>
  </si>
  <si>
    <t xml:space="preserve">  First Pruning</t>
  </si>
  <si>
    <t xml:space="preserve">  Second Pruning</t>
  </si>
  <si>
    <t>Operational and Maintenance Costs</t>
  </si>
  <si>
    <t xml:space="preserve">  Logging Hardwoods</t>
  </si>
  <si>
    <t xml:space="preserve">  Logging Softwoods</t>
  </si>
  <si>
    <t xml:space="preserve">  Hauling</t>
  </si>
  <si>
    <t>Thinning</t>
  </si>
  <si>
    <t>First Pruning</t>
  </si>
  <si>
    <t>Second Pruning</t>
  </si>
  <si>
    <t>NPV Analysis</t>
  </si>
  <si>
    <t>Subtotal Operational and Maintenance Costs</t>
  </si>
  <si>
    <t>#7 Grass Silage Buffer* Income and Costs PER ACRE</t>
  </si>
  <si>
    <t>Grass Silage revenue</t>
  </si>
  <si>
    <t>Source: Ministry of Ag British Columbia</t>
  </si>
  <si>
    <t>Fertilizer is applied every year in the spring; Source: Ministry of Ag British Columbia</t>
  </si>
  <si>
    <t xml:space="preserve">  Grass Silage revenue</t>
  </si>
  <si>
    <t>Harvest 4 times per year @ 40.00 per acre each time.  Assume no harvest first year.</t>
  </si>
  <si>
    <t>Tilling occurs every four years after initial establishment</t>
  </si>
  <si>
    <t>Maintenance/Operations Costs</t>
  </si>
  <si>
    <t>Grass is reseeded every 4 years after initial establishment</t>
  </si>
  <si>
    <t>Subtotal Maintenance/Operations Costs</t>
  </si>
  <si>
    <t xml:space="preserve">Maint cost share </t>
  </si>
  <si>
    <t>Grass Silage Revenue (100 years)</t>
  </si>
  <si>
    <t>NPV Income is $154 less than my analysis</t>
  </si>
  <si>
    <t>NPV Costs are $93 less than in my analysis</t>
  </si>
  <si>
    <t>Maint/operational costs (100 yrs)</t>
  </si>
  <si>
    <t>Difference b/t revenue and income in NPV Analysis</t>
  </si>
  <si>
    <t>Difference b/t My model and tne NPV analysis</t>
  </si>
  <si>
    <t>Difference is due to infinite costs and revenues vs. costs and revenues over 100 years.</t>
  </si>
  <si>
    <r>
      <t>NPV</t>
    </r>
    <r>
      <rPr>
        <vertAlign val="subscript"/>
        <sz val="10"/>
        <rFont val="Arial"/>
        <family val="2"/>
      </rPr>
      <t>20</t>
    </r>
  </si>
  <si>
    <r>
      <t>NPV</t>
    </r>
    <r>
      <rPr>
        <vertAlign val="subscript"/>
        <sz val="10"/>
        <rFont val="Arial"/>
        <family val="2"/>
      </rPr>
      <t>30</t>
    </r>
  </si>
  <si>
    <r>
      <t>NPV</t>
    </r>
    <r>
      <rPr>
        <vertAlign val="subscript"/>
        <sz val="10"/>
        <rFont val="Arial"/>
        <family val="2"/>
      </rPr>
      <t>40</t>
    </r>
  </si>
  <si>
    <r>
      <t>NPV</t>
    </r>
    <r>
      <rPr>
        <vertAlign val="subscript"/>
        <sz val="10"/>
        <rFont val="Arial"/>
        <family val="2"/>
      </rPr>
      <t>50</t>
    </r>
  </si>
  <si>
    <r>
      <t>NPV</t>
    </r>
    <r>
      <rPr>
        <vertAlign val="subscript"/>
        <sz val="10"/>
        <rFont val="Arial"/>
        <family val="2"/>
      </rPr>
      <t>60</t>
    </r>
  </si>
  <si>
    <r>
      <t>NPV</t>
    </r>
    <r>
      <rPr>
        <vertAlign val="subscript"/>
        <sz val="10"/>
        <rFont val="Arial"/>
        <family val="2"/>
      </rPr>
      <t>70</t>
    </r>
  </si>
  <si>
    <r>
      <t>NPV</t>
    </r>
    <r>
      <rPr>
        <vertAlign val="subscript"/>
        <sz val="10"/>
        <rFont val="Arial"/>
        <family val="2"/>
      </rPr>
      <t>80</t>
    </r>
  </si>
  <si>
    <r>
      <t>NPV</t>
    </r>
    <r>
      <rPr>
        <vertAlign val="subscript"/>
        <sz val="10"/>
        <rFont val="Arial"/>
        <family val="2"/>
      </rPr>
      <t>90</t>
    </r>
  </si>
  <si>
    <r>
      <t>NPV</t>
    </r>
    <r>
      <rPr>
        <vertAlign val="subscript"/>
        <sz val="10"/>
        <rFont val="Arial"/>
        <family val="2"/>
      </rPr>
      <t>100</t>
    </r>
  </si>
  <si>
    <r>
      <t>Maint cost (</t>
    </r>
    <r>
      <rPr>
        <b/>
        <sz val="10"/>
        <color indexed="10"/>
        <rFont val="Arial"/>
        <family val="2"/>
      </rPr>
      <t>100 Yrs</t>
    </r>
    <r>
      <rPr>
        <sz val="10"/>
        <rFont val="Arial"/>
        <family val="0"/>
      </rPr>
      <t>)</t>
    </r>
  </si>
  <si>
    <t xml:space="preserve">* For the purpose of this exercise, it is assumed that the buffer is a no-touch setback.  No trees are planted.  For the purpose of calculating Present Values (PV) of on-going weed control, the buffer is assumed to be permanent.  Weeding expenses and cost sharing begin in the year the buffer is established.  </t>
  </si>
  <si>
    <t>**** This represents the AVERAGE costs of buffer installation and maintenance.  Actual costs can be much higher or lower depending on specific site conditions.  Where available, the range of costs for certain practices has been noted in the data source/comments column.</t>
  </si>
  <si>
    <t xml:space="preserve">* For the purpose of this exercise, it is assumed that the buffer is a no-touch setback, in which the Guidelines for installing a NRCS Filter Strip are followed.  No trees are planted.  Existing weeds are removed at establishment and controlled through semi-annual mowing. For the purpose of calculating Present Value (PV) of mowing, the buffer is assumed to be permanent. No Maintenance costs are incurred in the first year. </t>
  </si>
  <si>
    <t>* For the purpose of this exercise, it is assumed that the buffer is planted with hay.  Site preparation is followed by conventional tilling, fertilizer and seeding.  The hay is re-seeded every four years and fertilized each year in the spring.  Four harvests per year are obtained.  No harvest is obtained in the first year.  Annual yield can be adjusted in the "Buffer Assumptions" Table in the "Farm &amp; Buffer Assumptions" worksheet.</t>
  </si>
  <si>
    <t xml:space="preserve">* For the purpose of this exercise, it is assumed that the buffer is a no-touch shrub buffer including mixed native species plantings at a density of 500 shrubs per acre. Existing weeds are removed at establishment and controlled for the first 5 years.  Re-establishment of shrubs that died after planting occurs in the second year. </t>
  </si>
  <si>
    <t>* For the purpose of this exercise, it is assumed that the buffer is a forested buffer planted to current state standards for CREP buffers, including mixed native species planted at a density of 500 trees per acre. Existing weeds are removed at establishment and controlled for the first 5 years.  Re-establishment of trees that died after planting occurs in the second year.  Interest rate used to calculate Present Value of future revenues and costs is indicated in the Farm &amp; Buffer Assumptions worksheet.</t>
  </si>
  <si>
    <t>* For the purpose of this exercise, it is assumed that the buffer is a forested buffer planted to current state standards for CREP buffers, including mixed native species plantings at a density of 500 trees per acre. Existing weeds are removed at establishment and controlled for the first 5 years.  Re-establishment of trees that died after planting occurs in the second year.  Interest rate used to calculate Present Value of future revenues and costs is indicated in the Farm and Buffer Assumptions worksheet.</t>
  </si>
  <si>
    <t xml:space="preserve">* For the purpose of this exercise, it is assumed that the buffer is planted with grass for silage and green chop.  Site preparation is followed by conventional tilling, fertilizer and seeding.  The grass is re-seeded every four years and fertilized each year in the spring.  </t>
  </si>
  <si>
    <t>Buffer Budget Summary</t>
  </si>
  <si>
    <t>Buffer Revenues</t>
  </si>
  <si>
    <t xml:space="preserve">  Installation Cost Share Payment</t>
  </si>
  <si>
    <t xml:space="preserve">  Maintenance Cost Share Payment</t>
  </si>
  <si>
    <t xml:space="preserve">  Land Rental Cost Share Payment</t>
  </si>
  <si>
    <t xml:space="preserve">  Sign-Up or other one-time bonus</t>
  </si>
  <si>
    <t xml:space="preserve">  Hay income</t>
  </si>
  <si>
    <t xml:space="preserve">  Grass silage income</t>
  </si>
  <si>
    <t xml:space="preserve">  Timber thinning income </t>
  </si>
  <si>
    <t xml:space="preserve">  Timber harvest income (stumpage)</t>
  </si>
  <si>
    <t xml:space="preserve">  Other Income #1</t>
  </si>
  <si>
    <t xml:space="preserve">  Other Income #2</t>
  </si>
  <si>
    <t>Sub Total Buffer Revenues</t>
  </si>
  <si>
    <t xml:space="preserve">Buffer Costs </t>
  </si>
  <si>
    <t>One Time and/or Installation Costs</t>
  </si>
  <si>
    <t>PV</t>
  </si>
  <si>
    <t xml:space="preserve">  Survey and Stake buffer area</t>
  </si>
  <si>
    <t xml:space="preserve">  Site Preparation </t>
  </si>
  <si>
    <t xml:space="preserve">  Tillage Costs (buffer estab. Only)</t>
  </si>
  <si>
    <t xml:space="preserve">  Grass Filter strip installation</t>
  </si>
  <si>
    <t xml:space="preserve">  Fertilizer (initial establishment of hay and grass buffers)</t>
  </si>
  <si>
    <t xml:space="preserve">  Seed (hay and grass silage)</t>
  </si>
  <si>
    <t xml:space="preserve">  Tree/shrub Seedling &amp; Planting</t>
  </si>
  <si>
    <t xml:space="preserve">  Seedling/shrub protectors + installation</t>
  </si>
  <si>
    <t xml:space="preserve">  Fencing + installation (incl. Gates)</t>
  </si>
  <si>
    <t xml:space="preserve">  Other Cost(s)</t>
  </si>
  <si>
    <t>Annual or Recurring Buffer Costs</t>
  </si>
  <si>
    <t xml:space="preserve">  Mowing (grass)</t>
  </si>
  <si>
    <t xml:space="preserve">  Weed Control </t>
  </si>
  <si>
    <t xml:space="preserve">  Tillage costs (ongoing)</t>
  </si>
  <si>
    <t xml:space="preserve">  Fertilizer</t>
  </si>
  <si>
    <t xml:space="preserve">  Fence Repair &amp; Maintenance</t>
  </si>
  <si>
    <t xml:space="preserve">  Thinning (trees)</t>
  </si>
  <si>
    <t xml:space="preserve">  First Pruning (trees)</t>
  </si>
  <si>
    <t xml:space="preserve">  Second Pruning (trees)</t>
  </si>
  <si>
    <t xml:space="preserve">  Harvest (hay, grass silage, timber)</t>
  </si>
  <si>
    <t>Sub Total Buffer Costs</t>
  </si>
  <si>
    <t>Annual Equivalent Buffer Revenues</t>
  </si>
  <si>
    <t>Annual Equivalent Buffer Costs (annualized)</t>
  </si>
  <si>
    <t>Total Annual Equivalent Revenue (Cost)</t>
  </si>
  <si>
    <t>tons/acre/year</t>
  </si>
  <si>
    <t>Grass Silage yield</t>
  </si>
  <si>
    <t>Hay/grass seeding interval</t>
  </si>
  <si>
    <t>Tree seedling planting density</t>
  </si>
  <si>
    <t>Current CREP standard</t>
  </si>
  <si>
    <t xml:space="preserve">1st Pruning </t>
  </si>
  <si>
    <t xml:space="preserve">2nd Pruning </t>
  </si>
  <si>
    <t xml:space="preserve">Thinning </t>
  </si>
  <si>
    <t xml:space="preserve">Timber Harvest </t>
  </si>
  <si>
    <t>Type either 10, 15,25, or 50 in the box to the left. If you do not choose one of these four numbers, the Budget With Buffer will not calculate correctly.</t>
  </si>
  <si>
    <t>Annual land rental rate</t>
  </si>
  <si>
    <t>Currently this is between 200% and 210% (March 2003)</t>
  </si>
  <si>
    <t>$/acre</t>
  </si>
  <si>
    <t>Years of maintenance paid by the program for forest/shrub buffers</t>
  </si>
  <si>
    <t>Years of maintenance paid by the program for setback/grass/hay buffers</t>
  </si>
  <si>
    <r>
      <t xml:space="preserve">Cost Sharing available for </t>
    </r>
    <r>
      <rPr>
        <b/>
        <sz val="14"/>
        <color indexed="12"/>
        <rFont val="Arial"/>
        <family val="2"/>
      </rPr>
      <t>setbacks</t>
    </r>
    <r>
      <rPr>
        <b/>
        <sz val="12"/>
        <rFont val="Arial"/>
        <family val="2"/>
      </rPr>
      <t xml:space="preserve">? </t>
    </r>
  </si>
  <si>
    <t xml:space="preserve">  Is there an annual land rental payment?</t>
  </si>
  <si>
    <t xml:space="preserve">1' if yes or '0' if no </t>
  </si>
  <si>
    <t xml:space="preserve">  Is there a one-time sign-up bonus?</t>
  </si>
  <si>
    <t xml:space="preserve">  Is there installation cost share support?</t>
  </si>
  <si>
    <t xml:space="preserve">  Is there maintenance cost share support?</t>
  </si>
  <si>
    <r>
      <t xml:space="preserve">Cost sharing available for </t>
    </r>
    <r>
      <rPr>
        <b/>
        <sz val="14"/>
        <color indexed="12"/>
        <rFont val="Arial"/>
        <family val="2"/>
      </rPr>
      <t>hay</t>
    </r>
    <r>
      <rPr>
        <b/>
        <sz val="12"/>
        <rFont val="Arial"/>
        <family val="2"/>
      </rPr>
      <t xml:space="preserve"> buffers?</t>
    </r>
  </si>
  <si>
    <r>
      <t xml:space="preserve">Cost sharing available for </t>
    </r>
    <r>
      <rPr>
        <b/>
        <sz val="14"/>
        <color indexed="12"/>
        <rFont val="Arial"/>
        <family val="2"/>
      </rPr>
      <t>shrub</t>
    </r>
    <r>
      <rPr>
        <b/>
        <sz val="12"/>
        <rFont val="Arial"/>
        <family val="2"/>
      </rPr>
      <t xml:space="preserve"> buffers?</t>
    </r>
  </si>
  <si>
    <r>
      <t xml:space="preserve">Cost sharing available for </t>
    </r>
    <r>
      <rPr>
        <b/>
        <sz val="14"/>
        <color indexed="12"/>
        <rFont val="Arial"/>
        <family val="2"/>
      </rPr>
      <t>mixed forest</t>
    </r>
    <r>
      <rPr>
        <b/>
        <sz val="12"/>
        <rFont val="Arial"/>
        <family val="2"/>
      </rPr>
      <t xml:space="preserve"> no-touch buffers?</t>
    </r>
  </si>
  <si>
    <r>
      <t xml:space="preserve">Cost sharing available for </t>
    </r>
    <r>
      <rPr>
        <b/>
        <sz val="14"/>
        <color indexed="12"/>
        <rFont val="Arial"/>
        <family val="2"/>
      </rPr>
      <t>mixed forest</t>
    </r>
    <r>
      <rPr>
        <b/>
        <sz val="12"/>
        <rFont val="Arial"/>
        <family val="2"/>
      </rPr>
      <t xml:space="preserve"> (managed) buffers?</t>
    </r>
  </si>
  <si>
    <r>
      <t xml:space="preserve">Cost sharing available for </t>
    </r>
    <r>
      <rPr>
        <b/>
        <sz val="14"/>
        <color indexed="12"/>
        <rFont val="Arial"/>
        <family val="2"/>
      </rPr>
      <t>grass silage</t>
    </r>
    <r>
      <rPr>
        <b/>
        <sz val="12"/>
        <rFont val="Arial"/>
        <family val="2"/>
      </rPr>
      <t xml:space="preserve"> buffers?</t>
    </r>
  </si>
  <si>
    <t>Must select 10 or 15 years</t>
  </si>
  <si>
    <t>Tree/Shrub Protectors</t>
  </si>
  <si>
    <t xml:space="preserve">  Hauling (timber)</t>
  </si>
  <si>
    <t>% of Total Income</t>
  </si>
  <si>
    <t>% of Total Cost</t>
  </si>
  <si>
    <t>Timber Prices</t>
  </si>
  <si>
    <t>Softwood Pulp</t>
  </si>
  <si>
    <t>Hardwood Pulp ($/ton)</t>
  </si>
  <si>
    <t>($/MBF unless otherwise noted)</t>
  </si>
  <si>
    <t>Chip &amp; Saw ($/ton)</t>
  </si>
  <si>
    <t>Annual License and Tax</t>
  </si>
  <si>
    <t>Enter green tons per acre per year</t>
  </si>
  <si>
    <t>Integrating Riparian Area Income and Costs</t>
  </si>
  <si>
    <t>Into The Annual Budgeting Process</t>
  </si>
  <si>
    <t>Resource Consulting</t>
  </si>
  <si>
    <t xml:space="preserve">  Re-planting trees/shrubs</t>
  </si>
  <si>
    <t>Average Annual Buffer Revenues and Costs (Annual Equivalents)</t>
  </si>
  <si>
    <t>Lime</t>
  </si>
  <si>
    <t>Per Acre of Buffer</t>
  </si>
  <si>
    <t>Per Acre Farmed</t>
  </si>
  <si>
    <t>Variable Costs</t>
  </si>
  <si>
    <t>Fixed Costs</t>
  </si>
  <si>
    <t>Enterprise Net Projected Return</t>
  </si>
  <si>
    <t>Per Acre Net Projected Return</t>
  </si>
  <si>
    <t>7% is a typical fee used in current WSU crop budgets</t>
  </si>
  <si>
    <r>
      <t>1)</t>
    </r>
    <r>
      <rPr>
        <sz val="11"/>
        <rFont val="Arial"/>
        <family val="2"/>
      </rPr>
      <t xml:space="preserve"> How many lineal feet of riparian area will be included in the buffer enterprise?   Include footage on </t>
    </r>
    <r>
      <rPr>
        <b/>
        <i/>
        <sz val="11"/>
        <rFont val="Arial"/>
        <family val="2"/>
      </rPr>
      <t>both</t>
    </r>
    <r>
      <rPr>
        <sz val="11"/>
        <rFont val="Arial"/>
        <family val="2"/>
      </rPr>
      <t xml:space="preserve"> sides of a waterway if you own or lease the property on both sides.  Select from the following stream types (enter 0 if you do not have that stream type): </t>
    </r>
  </si>
  <si>
    <t>Estimate the number of buffer acres that will be on leased land</t>
  </si>
  <si>
    <t>Owner Management Fee and Land Costs</t>
  </si>
  <si>
    <t>Buffer Statistics</t>
  </si>
  <si>
    <t>*All figures in US Dollars unless otherwise noted</t>
  </si>
  <si>
    <t>Productive Acreage (acres)</t>
  </si>
  <si>
    <t>Acreage placed in buffer (acres)</t>
  </si>
  <si>
    <t>**PV = Present Value</t>
  </si>
  <si>
    <t>Buffer</t>
  </si>
  <si>
    <t>Pre</t>
  </si>
  <si>
    <t>Post</t>
  </si>
  <si>
    <r>
      <t xml:space="preserve">Cost-sharing available for </t>
    </r>
    <r>
      <rPr>
        <b/>
        <sz val="14"/>
        <color indexed="12"/>
        <rFont val="Arial"/>
        <family val="2"/>
      </rPr>
      <t>grass filter strips</t>
    </r>
    <r>
      <rPr>
        <b/>
        <sz val="12"/>
        <rFont val="Arial"/>
        <family val="2"/>
      </rPr>
      <t>?</t>
    </r>
  </si>
  <si>
    <t>Discount rate</t>
  </si>
  <si>
    <t>Over how many years do you want to annualize the revenues and costs of the buffer?</t>
  </si>
  <si>
    <t>Manure</t>
  </si>
  <si>
    <t>Fixed Costs Allocated To This Enterprise</t>
  </si>
  <si>
    <t>VOLUME XV: ISSUE #4 (April, 2003)</t>
  </si>
  <si>
    <t>Local Dairy grass silage=$25/green ton;  WSU Extension says price is closer to $39/ton.  Confirm.</t>
  </si>
  <si>
    <t xml:space="preserve">Description of Scenario: </t>
  </si>
  <si>
    <t>N fertilizer</t>
  </si>
  <si>
    <t>lbs/acre</t>
  </si>
  <si>
    <t>Assumes two applications per year, each 50 lbs./acre</t>
  </si>
  <si>
    <t>Annual Capital Recovery</t>
  </si>
  <si>
    <t>Farmland</t>
  </si>
  <si>
    <r>
      <t>Annualization Period for Buffer Income and Costs:</t>
    </r>
    <r>
      <rPr>
        <sz val="12"/>
        <rFont val="Arial"/>
        <family val="0"/>
      </rPr>
      <t xml:space="preserve"> 15</t>
    </r>
  </si>
  <si>
    <t>Total  Present Value of Buffer NET Revenues (Costs)</t>
  </si>
  <si>
    <t>Present Value of Net Buffer Revenue (Cost) PER ACRE of Buffer</t>
  </si>
  <si>
    <t xml:space="preserve"> '1' if yes or '0' if no.  Change this to '1' only if you intend to prune the trees in the forested buffer area</t>
  </si>
  <si>
    <t xml:space="preserve"> '1' if yes or '0' if no.  Change this to '1' only if you intend to thin the trees in a forested buffer area</t>
  </si>
  <si>
    <t xml:space="preserve"> '1' if yes or '0' if no.  Change this to '1' only if you intend to harvest in the forested buffer area</t>
  </si>
  <si>
    <t>Thinning done in year 15</t>
  </si>
  <si>
    <t>Mixed Forest Buffer Harvest Schedule</t>
  </si>
  <si>
    <t>Red Alder Volume Assumptions:</t>
  </si>
  <si>
    <t>Volume per tree:</t>
  </si>
  <si>
    <t>Board feet</t>
  </si>
  <si>
    <t>20 yrs</t>
  </si>
  <si>
    <t>40 yrs</t>
  </si>
  <si>
    <t>60 yrs.</t>
  </si>
  <si>
    <t>Doug Fir Volume Assumptions:</t>
  </si>
  <si>
    <t>Board feet:</t>
  </si>
  <si>
    <t>35 years</t>
  </si>
  <si>
    <t>70 years</t>
  </si>
  <si>
    <t>105 years</t>
  </si>
  <si>
    <t>Remaining stems</t>
  </si>
  <si>
    <t>DOUG FIR</t>
  </si>
  <si>
    <t>Remaining Stems</t>
  </si>
  <si>
    <t>Board Feet RA</t>
  </si>
  <si>
    <t>Board Feet Doug Fir</t>
  </si>
  <si>
    <t>Income RA</t>
  </si>
  <si>
    <t>Income DF</t>
  </si>
  <si>
    <t>Harvest hardwood volume every 20 years</t>
  </si>
  <si>
    <t>Harvest softwood volume every 35 years</t>
  </si>
  <si>
    <t>Doug Fir</t>
  </si>
  <si>
    <t>Logging &amp; Hauling Costs</t>
  </si>
  <si>
    <t>Weight in tons</t>
  </si>
  <si>
    <t xml:space="preserve">  Hardwoods</t>
  </si>
  <si>
    <t xml:space="preserve">  Doug Fir</t>
  </si>
  <si>
    <t>Red Alder</t>
  </si>
  <si>
    <t>Green weight per MBF in TONS</t>
  </si>
  <si>
    <t>Logging cost</t>
  </si>
  <si>
    <t>Quotes from local logging companies (Concrete and Mt. Vernon)</t>
  </si>
  <si>
    <t>Hauling cost</t>
  </si>
  <si>
    <t>------</t>
  </si>
  <si>
    <t>20 &amp; 35</t>
  </si>
  <si>
    <t xml:space="preserve">Selective Logging </t>
  </si>
  <si>
    <t>Hauling (trees)</t>
  </si>
  <si>
    <t>Harvest costs (trees)</t>
  </si>
  <si>
    <t>----------</t>
  </si>
  <si>
    <t>--------</t>
  </si>
  <si>
    <t>lbs. of N fertilizer applied each year in buffer area (silage &amp; hay buffer)</t>
  </si>
  <si>
    <t>Number of  Stems Harvested and Total Volume by Species</t>
  </si>
  <si>
    <t>Species #3 Volume Assumptions:</t>
  </si>
  <si>
    <t>X years</t>
  </si>
  <si>
    <t>XX years</t>
  </si>
  <si>
    <t>XXX years</t>
  </si>
  <si>
    <t>SPECIES #3</t>
  </si>
  <si>
    <t>Plant XXX stems</t>
  </si>
  <si>
    <t>Board Feet Sp #3</t>
  </si>
  <si>
    <t>Income Sp #3</t>
  </si>
  <si>
    <t>Present Value of RA Income</t>
  </si>
  <si>
    <t>Present Value of DF Income</t>
  </si>
  <si>
    <t>Present Value of Sp #3 Income</t>
  </si>
  <si>
    <t>Present Value of Logging costs</t>
  </si>
  <si>
    <t>Present Value of Hauling costs</t>
  </si>
  <si>
    <t>Will any part of the forested buffer be managed for commercial timber production?</t>
  </si>
  <si>
    <t xml:space="preserve"> '1' if yes or '0' if no.  Change this to '1' only if you intend to actively manage part of the forested buffer area for commercial timber harvest.</t>
  </si>
  <si>
    <r>
      <t>Buffer Commercial Management</t>
    </r>
    <r>
      <rPr>
        <sz val="12"/>
        <rFont val="Arial"/>
        <family val="2"/>
      </rPr>
      <t>: None</t>
    </r>
  </si>
  <si>
    <r>
      <t>Maintenance Cost Share Payment</t>
    </r>
    <r>
      <rPr>
        <vertAlign val="superscript"/>
        <sz val="10"/>
        <rFont val="Arial"/>
        <family val="2"/>
      </rPr>
      <t xml:space="preserve"> </t>
    </r>
    <r>
      <rPr>
        <sz val="10"/>
        <rFont val="Arial"/>
        <family val="2"/>
      </rPr>
      <t>(weed control)</t>
    </r>
  </si>
  <si>
    <r>
      <t xml:space="preserve">  Foregone income from land made </t>
    </r>
    <r>
      <rPr>
        <b/>
        <sz val="10"/>
        <rFont val="Arial"/>
        <family val="2"/>
      </rPr>
      <t>spatially unviable</t>
    </r>
    <r>
      <rPr>
        <sz val="10"/>
        <rFont val="Arial"/>
        <family val="0"/>
      </rPr>
      <t xml:space="preserve"> by buffer</t>
    </r>
  </si>
  <si>
    <t xml:space="preserve">Farm Management Summary: </t>
  </si>
  <si>
    <t xml:space="preserve">Riparian Area Description: </t>
  </si>
  <si>
    <t xml:space="preserve">Riparian Treatments: </t>
  </si>
  <si>
    <t xml:space="preserve">Cost Share:  </t>
  </si>
  <si>
    <t xml:space="preserve">Notes &amp; Results: </t>
  </si>
  <si>
    <t>Buffer Annual Economic Impact Summary *</t>
  </si>
  <si>
    <t>Total net income/cost per acre of buffer (PV)</t>
  </si>
  <si>
    <t>Numeric</t>
  </si>
  <si>
    <t>Raspberry Budgets and Riparian Buffers:</t>
  </si>
  <si>
    <t>Version 1.0</t>
  </si>
  <si>
    <t>Economic impact on raspberry enterprise</t>
  </si>
  <si>
    <t>Total net income (cost) of buffer (PV)**</t>
  </si>
  <si>
    <t xml:space="preserve">Total annualized net income (cost) of buffer (PV) </t>
  </si>
  <si>
    <t xml:space="preserve">"Equipment and Investment" worksheet corrected </t>
  </si>
  <si>
    <t>Soil &amp; nematode tests</t>
  </si>
  <si>
    <t>August</t>
  </si>
  <si>
    <t>September</t>
  </si>
  <si>
    <t>November</t>
  </si>
  <si>
    <t>February</t>
  </si>
  <si>
    <t>March</t>
  </si>
  <si>
    <t>April</t>
  </si>
  <si>
    <t>Price per unit</t>
  </si>
  <si>
    <t>Custom disk</t>
  </si>
  <si>
    <t>Custom plow</t>
  </si>
  <si>
    <t>Wire #9 &amp; #12</t>
  </si>
  <si>
    <t>Nails &amp; clips</t>
  </si>
  <si>
    <t>Dolomite lime</t>
  </si>
  <si>
    <t>Devrinol 50%WP</t>
  </si>
  <si>
    <t>Raspberry plants</t>
  </si>
  <si>
    <t>Steel center posts</t>
  </si>
  <si>
    <t>Wood end posts</t>
  </si>
  <si>
    <t>Roundup</t>
  </si>
  <si>
    <t>Hole digger rent</t>
  </si>
  <si>
    <t>Irrigation fuel, repair</t>
  </si>
  <si>
    <t>Rent 1BTM plow</t>
  </si>
  <si>
    <t>Rent 4' row cultivator</t>
  </si>
  <si>
    <t>plant</t>
  </si>
  <si>
    <t>B.T.</t>
  </si>
  <si>
    <t>Baler twine</t>
  </si>
  <si>
    <t>Chemical toilet</t>
  </si>
  <si>
    <t>1.5 ton truck</t>
  </si>
  <si>
    <t>Hand labor</t>
  </si>
  <si>
    <t>Flats and cups</t>
  </si>
  <si>
    <t>Fertilizer 10-20-10</t>
  </si>
  <si>
    <t>Lime-sulfur</t>
  </si>
  <si>
    <t>Simazine 80%WP</t>
  </si>
  <si>
    <t>Paraquat</t>
  </si>
  <si>
    <t>Custom subsoil</t>
  </si>
  <si>
    <t>Dinoseb</t>
  </si>
  <si>
    <t>40" disk drill rent</t>
  </si>
  <si>
    <t>Rye seed</t>
  </si>
  <si>
    <t>Spray oil</t>
  </si>
  <si>
    <t>Units/acre</t>
  </si>
  <si>
    <t>HARVEST</t>
  </si>
  <si>
    <t>POST HARVEST</t>
  </si>
  <si>
    <t>PRE-HARVEST</t>
  </si>
  <si>
    <t>Cost/acre</t>
  </si>
  <si>
    <t>Rotovator</t>
  </si>
  <si>
    <t>Irrigation Labor</t>
  </si>
  <si>
    <t>Harvest labor</t>
  </si>
  <si>
    <t>Fertilizer 10-20-20</t>
  </si>
  <si>
    <t>quarts</t>
  </si>
  <si>
    <t>bale</t>
  </si>
  <si>
    <t>times per acre</t>
  </si>
  <si>
    <t>quart</t>
  </si>
  <si>
    <t>hour</t>
  </si>
  <si>
    <t>pint</t>
  </si>
  <si>
    <t>gallon</t>
  </si>
  <si>
    <t>each</t>
  </si>
  <si>
    <t>cwt</t>
  </si>
  <si>
    <t>ESTABLISHMENT INPUTS</t>
  </si>
  <si>
    <t>LABOR INPUTS</t>
  </si>
  <si>
    <t>HARVEST INPUTS</t>
  </si>
  <si>
    <t>RENTAL &amp; CUSTOM INPUTS</t>
  </si>
  <si>
    <t>OTHER INPUTS</t>
  </si>
  <si>
    <t>Enter units/acre</t>
  </si>
  <si>
    <t>Month or Season</t>
  </si>
  <si>
    <t>Raspberries</t>
  </si>
  <si>
    <t>ACRES IN PRODUCTION</t>
  </si>
  <si>
    <t>VARIABLE (Operating) COSTS PER ACRE</t>
  </si>
  <si>
    <t>Plant 500 stems</t>
  </si>
  <si>
    <t>Operator management fee of 7% is on value of crop. Why isn't it treated as overhead and levied as percent of inputs?</t>
  </si>
  <si>
    <t>Total variable costs per acre</t>
  </si>
  <si>
    <t>Automatically draws from 'Inputs &amp; prices' sheet</t>
  </si>
  <si>
    <t>Automatically calculates</t>
  </si>
  <si>
    <t>HERBICIDES</t>
  </si>
  <si>
    <t>FUNGICIDES</t>
  </si>
  <si>
    <t>INSECTICIDES</t>
  </si>
  <si>
    <t>Diuron</t>
  </si>
  <si>
    <t>Norflurazon</t>
  </si>
  <si>
    <t>Oryzalin</t>
  </si>
  <si>
    <t>Oxyfluorfen</t>
  </si>
  <si>
    <t>Bifenthrin</t>
  </si>
  <si>
    <t>Diazinon</t>
  </si>
  <si>
    <t>Malathion</t>
  </si>
  <si>
    <t>Calcium polysulfide</t>
  </si>
  <si>
    <t>Copper hydroxide</t>
  </si>
  <si>
    <t>Copper sulfate</t>
  </si>
  <si>
    <t>Cyprodinil</t>
  </si>
  <si>
    <t>Fludioxonil</t>
  </si>
  <si>
    <t>Mefenoxam</t>
  </si>
  <si>
    <t>Dele</t>
  </si>
  <si>
    <t>Operation &amp; Inputs</t>
  </si>
  <si>
    <t>Enter month
of operation
(optional)</t>
  </si>
  <si>
    <r>
      <t xml:space="preserve">Select inputs from drop-down list
</t>
    </r>
    <r>
      <rPr>
        <i/>
        <sz val="8"/>
        <rFont val="Arial"/>
        <family val="2"/>
      </rPr>
      <t>(to add new inputs to list, go to
'Inputs &amp; prices' sheet)</t>
    </r>
  </si>
  <si>
    <t>Select New Input from List</t>
  </si>
  <si>
    <t>Used for discounting future costs and revenues back to present time.</t>
  </si>
  <si>
    <t xml:space="preserve">Average Annual Buffer Revenues and Costs (Annual Equivalents) on 'Buffer Builder' sheet simplified. </t>
  </si>
  <si>
    <t>FERTILIZERS</t>
  </si>
  <si>
    <t>New input</t>
  </si>
  <si>
    <t>Specify units</t>
  </si>
  <si>
    <t>Price/unit</t>
  </si>
  <si>
    <t>VARIABLE COSTS</t>
  </si>
  <si>
    <t>BASELINE SCENARIO</t>
  </si>
  <si>
    <t>Total Acreage in Buffers</t>
  </si>
  <si>
    <t>Acreage check</t>
  </si>
  <si>
    <t>Year 1 Establishment</t>
  </si>
  <si>
    <t>Year 2 Establishment</t>
  </si>
  <si>
    <t>Year 3+ (established acreage)</t>
  </si>
  <si>
    <t>BUFFERS</t>
  </si>
  <si>
    <t>Years 3+ (established acreage)</t>
  </si>
  <si>
    <t>Fresh</t>
  </si>
  <si>
    <t>Processed</t>
  </si>
  <si>
    <t>Percent sold to fresh market</t>
  </si>
  <si>
    <t>Percent sold to processed market</t>
  </si>
  <si>
    <t>Check budget w/ buffer variable input links for silage model</t>
  </si>
  <si>
    <r>
      <t>FUEL</t>
    </r>
    <r>
      <rPr>
        <b/>
        <i/>
        <sz val="10"/>
        <rFont val="Arial"/>
        <family val="2"/>
      </rPr>
      <t xml:space="preserve"> </t>
    </r>
    <r>
      <rPr>
        <i/>
        <sz val="10"/>
        <rFont val="Arial"/>
        <family val="2"/>
      </rPr>
      <t>(do not delete)</t>
    </r>
  </si>
  <si>
    <r>
      <t>LAND</t>
    </r>
    <r>
      <rPr>
        <i/>
        <sz val="10"/>
        <rFont val="Arial"/>
        <family val="2"/>
      </rPr>
      <t xml:space="preserve"> (do not delete)</t>
    </r>
  </si>
  <si>
    <t>$/hour</t>
  </si>
  <si>
    <t>October, 2004</t>
  </si>
  <si>
    <t>Late March</t>
  </si>
  <si>
    <t>Early April</t>
  </si>
  <si>
    <t>Early May</t>
  </si>
  <si>
    <t>Mid May</t>
  </si>
  <si>
    <t>Late May</t>
  </si>
  <si>
    <t>Early June</t>
  </si>
  <si>
    <t>Mid June</t>
  </si>
  <si>
    <t>Late June</t>
  </si>
  <si>
    <t>October/Nov</t>
  </si>
  <si>
    <t>lb. ai</t>
  </si>
  <si>
    <t>Guthion 50WP</t>
  </si>
  <si>
    <t>Gowan cryolite bait</t>
  </si>
  <si>
    <t>Sevin</t>
  </si>
  <si>
    <t>Captan 50WP</t>
  </si>
  <si>
    <t>Ferbam</t>
  </si>
  <si>
    <t>Orbit 3.6L</t>
  </si>
  <si>
    <t>Copper (Kocide 2000)</t>
  </si>
  <si>
    <t>Aliette</t>
  </si>
  <si>
    <t>Metam Sodium (Metam, Vapam)</t>
  </si>
  <si>
    <t>Dichlobenil (Casoron)</t>
  </si>
  <si>
    <t>Terbacil (Sinbar)</t>
  </si>
  <si>
    <t>Sethoxydim (Poast)</t>
  </si>
  <si>
    <t>Pronamide (Kerb)</t>
  </si>
  <si>
    <t>Fluazifop-p-butyl (Fusilade DX)</t>
  </si>
  <si>
    <t>Clethodim (Prism)</t>
  </si>
  <si>
    <t>Monocarbamide dihydrogensulfate (Enquik)</t>
  </si>
  <si>
    <t>Gallons</t>
  </si>
  <si>
    <t>Metaldehyde</t>
  </si>
  <si>
    <t>Metalaxyl (Ridomil)</t>
  </si>
  <si>
    <t>Iprodione (Rovral 4F)</t>
  </si>
  <si>
    <t>Vincozolin (Ronilan 4F)</t>
  </si>
  <si>
    <t>Benomyl (Benlate 50WP)</t>
  </si>
  <si>
    <t>Fenbutatin oxide (Vendex 50WP)</t>
  </si>
  <si>
    <t>Fenamiphos (Nemacur 3)</t>
  </si>
  <si>
    <t>PESTICIDE APPLICATION SCHEDULE</t>
  </si>
  <si>
    <t>September - Prune</t>
  </si>
  <si>
    <t>October</t>
  </si>
  <si>
    <t>September - Plant cover crop</t>
  </si>
  <si>
    <t>January - Tie canes</t>
  </si>
  <si>
    <t>April - Top canes</t>
  </si>
  <si>
    <t>May - Hoe shoots</t>
  </si>
  <si>
    <t>July - Train canes</t>
  </si>
  <si>
    <t>August - Train canes</t>
  </si>
  <si>
    <t>OTHER OPERATIONS -- PRE-HARVEST</t>
  </si>
  <si>
    <t>July - Harvest 4T/acre</t>
  </si>
  <si>
    <t>SKAGIT VALLEY RED RASPBERRIES</t>
  </si>
  <si>
    <t>Non-machinery inputs in years 3+</t>
  </si>
  <si>
    <t>February - Mark out</t>
  </si>
  <si>
    <t>February - Furrow</t>
  </si>
  <si>
    <t>February - Plant</t>
  </si>
  <si>
    <t>May - Weed</t>
  </si>
  <si>
    <t>July - Hoe</t>
  </si>
  <si>
    <t>July - Set guy wires</t>
  </si>
  <si>
    <t>July - Dig post holes</t>
  </si>
  <si>
    <t>July - Set posts</t>
  </si>
  <si>
    <t>Non-machinery establishment inputs in year 1</t>
  </si>
  <si>
    <t>January - Prune</t>
  </si>
  <si>
    <t>February - Apply fungicide</t>
  </si>
  <si>
    <t>April - Hoe shoots</t>
  </si>
  <si>
    <t>April - Apply herbicide</t>
  </si>
  <si>
    <t>May - Apply insecticide</t>
  </si>
  <si>
    <t>Complete the remainder of this section after using the "Buffer Builder" sheet.</t>
  </si>
  <si>
    <t xml:space="preserve">Enter the number of acres that will be removed from each age class in order to put in the buffer.  Note:  if you already have grass buffers and/or setbacks between the field and the water body, these areas should NOT be included in the acreage removed. </t>
  </si>
  <si>
    <t xml:space="preserve">THE FOLLOWING VERIFIES THAT THE NEW ACREAGE ALLOCATIONS ARE CONSISTENT WITH THE BASELINE SCENARIO AND THE BUFFER ACREAGE. If the yellow cells in columns B-L below do NOT say 'Okay', then return to the Buffer Scenario section of this worksheet and ensure that buffer acreages are correctly allocated. </t>
  </si>
  <si>
    <t xml:space="preserve">Raspberry Production Capital Investment </t>
  </si>
  <si>
    <r>
      <t>Skagit Valley Red Raspberries</t>
    </r>
    <r>
      <rPr>
        <b/>
        <sz val="16"/>
        <rFont val="Arial"/>
        <family val="2"/>
      </rPr>
      <t xml:space="preserve">
</t>
    </r>
    <r>
      <rPr>
        <b/>
        <sz val="18"/>
        <rFont val="Arial"/>
        <family val="2"/>
      </rPr>
      <t xml:space="preserve">Annual Budget </t>
    </r>
    <r>
      <rPr>
        <b/>
        <i/>
        <sz val="18"/>
        <rFont val="Arial"/>
        <family val="2"/>
      </rPr>
      <t xml:space="preserve">with </t>
    </r>
    <r>
      <rPr>
        <b/>
        <sz val="18"/>
        <rFont val="Arial"/>
        <family val="2"/>
      </rPr>
      <t>Buffer</t>
    </r>
  </si>
  <si>
    <r>
      <t>Skagit Valley Red Raspberries</t>
    </r>
    <r>
      <rPr>
        <b/>
        <sz val="16"/>
        <rFont val="Arial"/>
        <family val="2"/>
      </rPr>
      <t xml:space="preserve">
</t>
    </r>
    <r>
      <rPr>
        <b/>
        <sz val="18"/>
        <rFont val="Arial"/>
        <family val="2"/>
      </rPr>
      <t xml:space="preserve">Annual Budget </t>
    </r>
    <r>
      <rPr>
        <b/>
        <i/>
        <sz val="18"/>
        <rFont val="Arial"/>
        <family val="2"/>
      </rPr>
      <t xml:space="preserve">without </t>
    </r>
    <r>
      <rPr>
        <b/>
        <sz val="18"/>
        <rFont val="Arial"/>
        <family val="2"/>
      </rPr>
      <t>Buffer</t>
    </r>
  </si>
  <si>
    <r>
      <t xml:space="preserve"> </t>
    </r>
    <r>
      <rPr>
        <b/>
        <sz val="10"/>
        <rFont val="Arial"/>
        <family val="2"/>
      </rPr>
      <t xml:space="preserve"> F</t>
    </r>
    <r>
      <rPr>
        <sz val="10"/>
        <rFont val="Arial"/>
        <family val="0"/>
      </rPr>
      <t>oregone income from the buffer area (acres occupied by buffer x net income loss per acre)</t>
    </r>
  </si>
  <si>
    <t>Note: When you have completed this sheet, return to the "Acreage Allocation" sheet to specify which raspberry age classes have reduced acreage due to buffers.</t>
  </si>
  <si>
    <t>Impact on present value of levelized returns</t>
  </si>
  <si>
    <t>Levelized returns, per acre in production</t>
  </si>
  <si>
    <t>Levelized returns, total</t>
  </si>
  <si>
    <t>Levelized Annual Return per Acre</t>
  </si>
  <si>
    <t xml:space="preserve">   per acre</t>
  </si>
  <si>
    <t>Levelized Annual Return per Acre of Raspberries</t>
  </si>
  <si>
    <t>Levelized Annual Return per Acre of Raspberries and Buffer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</si>
</sst>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
    <numFmt numFmtId="166" formatCode="0_)"/>
    <numFmt numFmtId="167" formatCode="0.0_)"/>
    <numFmt numFmtId="168" formatCode="0.0"/>
    <numFmt numFmtId="169" formatCode="0.000"/>
    <numFmt numFmtId="170" formatCode="&quot;$&quot;#,##0.00"/>
    <numFmt numFmtId="171" formatCode="&quot;$&quot;#,##0"/>
    <numFmt numFmtId="172" formatCode="&quot;$&quot;#,##0.00;[Red]&quot;$&quot;#,##0.00"/>
    <numFmt numFmtId="173" formatCode="#,##0.000000000000"/>
    <numFmt numFmtId="174" formatCode="#,##0.0000000000"/>
    <numFmt numFmtId="175" formatCode="0_);[Red]\(0\)"/>
    <numFmt numFmtId="176" formatCode="0.00000"/>
    <numFmt numFmtId="177" formatCode="#,##0.0"/>
    <numFmt numFmtId="178" formatCode="_(* #,##0_);_(* \(#,##0\);_(* &quot;-&quot;??_);_(@_)"/>
    <numFmt numFmtId="179" formatCode="0.0%"/>
    <numFmt numFmtId="180" formatCode="_(* #,##0.0_);_(* \(#,##0.0\);_(* &quot;-&quot;??_);_(@_)"/>
    <numFmt numFmtId="181" formatCode="_(&quot;$&quot;* #,##0.0_);_(&quot;$&quot;* \(#,##0.0\);_(&quot;$&quot;* &quot;-&quot;??_);_(@_)"/>
    <numFmt numFmtId="182" formatCode="_(&quot;$&quot;* #,##0_);_(&quot;$&quot;* \(#,##0\);_(&quot;$&quot;* &quot;-&quot;??_);_(@_)"/>
    <numFmt numFmtId="183" formatCode="_(* #,##0.0_);_(* \(#,##0.0\);_(* &quot;-&quot;?_);_(@_)"/>
    <numFmt numFmtId="184" formatCode="_(* #,##0.000_);_(* \(#,##0.000\);_(* &quot;-&quot;??_);_(@_)"/>
    <numFmt numFmtId="185" formatCode="_(&quot;$&quot;* #,##0.000_);_(&quot;$&quot;* \(#,##0.000\);_(&quot;$&quot;* &quot;-&quot;??_);_(@_)"/>
    <numFmt numFmtId="186" formatCode="_(&quot;$&quot;* #,##0.0000_);_(&quot;$&quot;* \(#,##0.0000\);_(&quot;$&quot;* &quot;-&quot;??_);_(@_)"/>
    <numFmt numFmtId="187" formatCode="\O\p"/>
    <numFmt numFmtId="188" formatCode="&quot;Yes&quot;;&quot;Yes&quot;;&quot;No&quot;"/>
    <numFmt numFmtId="189" formatCode="&quot;True&quot;;&quot;True&quot;;&quot;False&quot;"/>
    <numFmt numFmtId="190" formatCode="&quot;On&quot;;&quot;On&quot;;&quot;Off&quot;"/>
    <numFmt numFmtId="191" formatCode="[$€-2]\ #,##0.00_);[Red]\([$€-2]\ #,##0.00\)"/>
    <numFmt numFmtId="192" formatCode="\x"/>
  </numFmts>
  <fonts count="93">
    <font>
      <sz val="10"/>
      <name val="Arial"/>
      <family val="0"/>
    </font>
    <font>
      <b/>
      <sz val="14"/>
      <name val="Arial"/>
      <family val="2"/>
    </font>
    <font>
      <b/>
      <sz val="10"/>
      <name val="Arial"/>
      <family val="2"/>
    </font>
    <font>
      <b/>
      <i/>
      <sz val="10"/>
      <name val="Arial"/>
      <family val="2"/>
    </font>
    <font>
      <sz val="10"/>
      <color indexed="10"/>
      <name val="Arial"/>
      <family val="0"/>
    </font>
    <font>
      <i/>
      <sz val="10"/>
      <name val="Arial"/>
      <family val="2"/>
    </font>
    <font>
      <b/>
      <sz val="12"/>
      <name val="Arial"/>
      <family val="2"/>
    </font>
    <font>
      <b/>
      <sz val="8"/>
      <name val="Tahoma"/>
      <family val="0"/>
    </font>
    <font>
      <sz val="8"/>
      <name val="Tahoma"/>
      <family val="0"/>
    </font>
    <font>
      <sz val="10"/>
      <color indexed="12"/>
      <name val="Arial"/>
      <family val="2"/>
    </font>
    <font>
      <b/>
      <sz val="11"/>
      <name val="Arial"/>
      <family val="2"/>
    </font>
    <font>
      <sz val="11"/>
      <name val="Arial"/>
      <family val="2"/>
    </font>
    <font>
      <sz val="10"/>
      <color indexed="8"/>
      <name val="Arial"/>
      <family val="2"/>
    </font>
    <font>
      <vertAlign val="subscript"/>
      <sz val="10"/>
      <name val="Arial"/>
      <family val="2"/>
    </font>
    <font>
      <vertAlign val="superscript"/>
      <sz val="10"/>
      <name val="Arial"/>
      <family val="2"/>
    </font>
    <font>
      <b/>
      <sz val="12"/>
      <name val="Times New Roman"/>
      <family val="1"/>
    </font>
    <font>
      <sz val="9"/>
      <name val="Times New Roman"/>
      <family val="1"/>
    </font>
    <font>
      <b/>
      <sz val="11"/>
      <name val="Times New Roman"/>
      <family val="1"/>
    </font>
    <font>
      <sz val="8"/>
      <name val="Times New Roman"/>
      <family val="1"/>
    </font>
    <font>
      <b/>
      <sz val="10"/>
      <name val="Times New Roman"/>
      <family val="1"/>
    </font>
    <font>
      <sz val="10"/>
      <name val="Times New Roman"/>
      <family val="1"/>
    </font>
    <font>
      <sz val="11"/>
      <name val="Times New Roman"/>
      <family val="1"/>
    </font>
    <font>
      <b/>
      <sz val="10"/>
      <color indexed="8"/>
      <name val="Arial"/>
      <family val="2"/>
    </font>
    <font>
      <b/>
      <i/>
      <sz val="16"/>
      <name val="Arial"/>
      <family val="2"/>
    </font>
    <font>
      <b/>
      <sz val="10"/>
      <color indexed="12"/>
      <name val="Arial"/>
      <family val="2"/>
    </font>
    <font>
      <b/>
      <sz val="18"/>
      <name val="Arial"/>
      <family val="2"/>
    </font>
    <font>
      <b/>
      <sz val="16"/>
      <name val="Arial"/>
      <family val="2"/>
    </font>
    <font>
      <b/>
      <i/>
      <sz val="14"/>
      <name val="Arial"/>
      <family val="2"/>
    </font>
    <font>
      <b/>
      <i/>
      <sz val="11"/>
      <name val="Arial"/>
      <family val="2"/>
    </font>
    <font>
      <sz val="12"/>
      <name val="Arial"/>
      <family val="2"/>
    </font>
    <font>
      <i/>
      <sz val="12"/>
      <name val="Arial"/>
      <family val="2"/>
    </font>
    <font>
      <u val="single"/>
      <sz val="10"/>
      <color indexed="36"/>
      <name val="Arial"/>
      <family val="0"/>
    </font>
    <font>
      <u val="single"/>
      <sz val="10"/>
      <color indexed="12"/>
      <name val="Arial"/>
      <family val="0"/>
    </font>
    <font>
      <b/>
      <sz val="10"/>
      <color indexed="10"/>
      <name val="Arial"/>
      <family val="2"/>
    </font>
    <font>
      <b/>
      <vertAlign val="superscript"/>
      <sz val="9"/>
      <name val="Tahoma"/>
      <family val="2"/>
    </font>
    <font>
      <b/>
      <sz val="14"/>
      <color indexed="12"/>
      <name val="Arial"/>
      <family val="2"/>
    </font>
    <font>
      <i/>
      <sz val="8"/>
      <name val="Tahoma"/>
      <family val="2"/>
    </font>
    <font>
      <u val="single"/>
      <sz val="8"/>
      <name val="Tahoma"/>
      <family val="2"/>
    </font>
    <font>
      <b/>
      <sz val="20"/>
      <name val="Arial"/>
      <family val="2"/>
    </font>
    <font>
      <sz val="20"/>
      <name val="Arial"/>
      <family val="2"/>
    </font>
    <font>
      <b/>
      <sz val="12"/>
      <color indexed="12"/>
      <name val="Arial"/>
      <family val="2"/>
    </font>
    <font>
      <b/>
      <i/>
      <sz val="12"/>
      <name val="Arial"/>
      <family val="2"/>
    </font>
    <font>
      <b/>
      <i/>
      <sz val="20"/>
      <name val="Arial"/>
      <family val="2"/>
    </font>
    <font>
      <b/>
      <sz val="20"/>
      <color indexed="12"/>
      <name val="Lucida Sans Unicode"/>
      <family val="2"/>
    </font>
    <font>
      <i/>
      <sz val="12"/>
      <color indexed="12"/>
      <name val="Arial"/>
      <family val="2"/>
    </font>
    <font>
      <sz val="18"/>
      <name val="Arial"/>
      <family val="2"/>
    </font>
    <font>
      <b/>
      <sz val="24"/>
      <name val="Lucida Sans Unicode"/>
      <family val="2"/>
    </font>
    <font>
      <b/>
      <sz val="10"/>
      <name val="Trebuchet MS"/>
      <family val="2"/>
    </font>
    <font>
      <sz val="10"/>
      <name val="Trebuchet MS"/>
      <family val="2"/>
    </font>
    <font>
      <vertAlign val="superscript"/>
      <sz val="12"/>
      <name val="Trebuchet MS"/>
      <family val="2"/>
    </font>
    <font>
      <b/>
      <sz val="20"/>
      <color indexed="12"/>
      <name val="Arial"/>
      <family val="2"/>
    </font>
    <font>
      <sz val="10"/>
      <name val="Tahoma"/>
      <family val="0"/>
    </font>
    <font>
      <i/>
      <sz val="8"/>
      <name val="Arial"/>
      <family val="2"/>
    </font>
    <font>
      <b/>
      <i/>
      <sz val="8"/>
      <name val="Arial"/>
      <family val="2"/>
    </font>
    <font>
      <b/>
      <sz val="10"/>
      <color indexed="18"/>
      <name val="Arial"/>
      <family val="2"/>
    </font>
    <font>
      <b/>
      <sz val="12"/>
      <color indexed="10"/>
      <name val="Arial"/>
      <family val="2"/>
    </font>
    <font>
      <b/>
      <sz val="12"/>
      <color indexed="8"/>
      <name val="Arial"/>
      <family val="2"/>
    </font>
    <font>
      <vertAlign val="superscript"/>
      <sz val="8"/>
      <name val="Tahoma"/>
      <family val="2"/>
    </font>
    <font>
      <vertAlign val="superscript"/>
      <sz val="10"/>
      <name val="Tahoma"/>
      <family val="2"/>
    </font>
    <font>
      <sz val="8"/>
      <name val="Arial"/>
      <family val="0"/>
    </font>
    <font>
      <sz val="16"/>
      <name val="Arial"/>
      <family val="2"/>
    </font>
    <font>
      <b/>
      <sz val="22"/>
      <name val="Arial"/>
      <family val="2"/>
    </font>
    <font>
      <b/>
      <i/>
      <sz val="18"/>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16"/>
      <name val="Arial"/>
      <family val="2"/>
    </font>
    <font>
      <sz val="10"/>
      <color indexed="60"/>
      <name val="Arial"/>
      <family val="2"/>
    </font>
    <font>
      <sz val="10"/>
      <color indexed="62"/>
      <name val="Arial"/>
      <family val="2"/>
    </font>
    <font>
      <b/>
      <sz val="10"/>
      <color indexed="63"/>
      <name val="Arial"/>
      <family val="2"/>
    </font>
    <font>
      <b/>
      <sz val="10"/>
      <color indexed="53"/>
      <name val="Arial"/>
      <family val="2"/>
    </font>
    <font>
      <sz val="10"/>
      <color indexed="53"/>
      <name val="Arial"/>
      <family val="2"/>
    </font>
    <font>
      <b/>
      <sz val="10"/>
      <color indexed="9"/>
      <name val="Arial"/>
      <family val="2"/>
    </font>
    <font>
      <sz val="10"/>
      <color indexed="9"/>
      <name val="Arial"/>
      <family val="2"/>
    </font>
    <font>
      <sz val="10"/>
      <color theme="0"/>
      <name val="Arial"/>
      <family val="2"/>
    </font>
    <font>
      <sz val="10"/>
      <color theme="1"/>
      <name val="Arial"/>
      <family val="2"/>
    </font>
    <font>
      <sz val="10"/>
      <color rgb="FF9C0006"/>
      <name val="Arial"/>
      <family val="2"/>
    </font>
    <font>
      <b/>
      <sz val="10"/>
      <color rgb="FFFA7D00"/>
      <name val="Arial"/>
      <family val="2"/>
    </font>
    <font>
      <b/>
      <sz val="10"/>
      <color theme="0"/>
      <name val="Arial"/>
      <family val="2"/>
    </font>
    <font>
      <b/>
      <sz val="10"/>
      <color theme="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8"/>
      <name val="Arial"/>
      <family val="2"/>
    </font>
  </fonts>
  <fills count="56">
    <fill>
      <patternFill/>
    </fill>
    <fill>
      <patternFill patternType="gray125"/>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theme="0"/>
        <bgColor theme="4" tint="0.19999000430107117"/>
      </patternFill>
    </fill>
    <fill>
      <patternFill patternType="lightUp">
        <fgColor theme="0"/>
        <bgColor theme="5" tint="0.19999000430107117"/>
      </patternFill>
    </fill>
    <fill>
      <patternFill patternType="lightUp">
        <fgColor theme="0"/>
        <bgColor theme="6" tint="0.1999900043010711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26"/>
        <bgColor indexed="64"/>
      </patternFill>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52"/>
        <bgColor indexed="64"/>
      </patternFill>
    </fill>
    <fill>
      <patternFill patternType="solid">
        <fgColor indexed="13"/>
        <bgColor indexed="64"/>
      </patternFill>
    </fill>
    <fill>
      <patternFill patternType="solid">
        <fgColor indexed="47"/>
        <bgColor indexed="64"/>
      </patternFill>
    </fill>
    <fill>
      <patternFill patternType="solid">
        <fgColor indexed="50"/>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
      <patternFill patternType="solid">
        <fgColor indexed="49"/>
        <bgColor indexed="64"/>
      </patternFill>
    </fill>
    <fill>
      <patternFill patternType="solid">
        <fgColor indexed="31"/>
        <bgColor indexed="64"/>
      </patternFill>
    </fill>
    <fill>
      <patternFill patternType="lightUp"/>
    </fill>
    <fill>
      <patternFill patternType="lightUp">
        <bgColor indexed="41"/>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medium"/>
      <right style="medium"/>
      <top style="medium"/>
      <bottom style="medium"/>
    </border>
    <border>
      <left style="thin">
        <color indexed="23"/>
      </left>
      <right style="thin">
        <color indexed="23"/>
      </right>
      <top>
        <color indexed="63"/>
      </top>
      <bottom>
        <color indexed="6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border>
    <border>
      <left>
        <color indexed="63"/>
      </left>
      <right style="medium"/>
      <top style="medium"/>
      <bottom style="medium"/>
    </border>
    <border>
      <left style="thin"/>
      <right style="thin">
        <color indexed="23"/>
      </right>
      <top style="thin"/>
      <bottom style="thin">
        <color indexed="23"/>
      </bottom>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color indexed="63"/>
      </left>
      <right style="thin"/>
      <top style="thin"/>
      <bottom style="thin"/>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style="hair"/>
      <top>
        <color indexed="63"/>
      </top>
      <bottom style="hair"/>
    </border>
    <border>
      <left style="thin"/>
      <right style="thin"/>
      <top style="thin"/>
      <bottom style="thin"/>
    </border>
    <border>
      <left style="medium"/>
      <right style="medium"/>
      <top style="medium"/>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style="medium">
        <color indexed="23"/>
      </right>
      <top style="medium">
        <color indexed="23"/>
      </top>
      <bottom style="medium">
        <color indexed="2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color indexed="63"/>
      </left>
      <right style="medium"/>
      <top style="thin"/>
      <bottom style="thin"/>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style="medium"/>
      <top>
        <color indexed="63"/>
      </top>
      <bottom style="thin">
        <color indexed="23"/>
      </bottom>
    </border>
    <border>
      <left>
        <color indexed="63"/>
      </left>
      <right style="thin">
        <color indexed="23"/>
      </right>
      <top>
        <color indexed="63"/>
      </top>
      <bottom style="thin">
        <color indexed="2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color indexed="23"/>
      </left>
      <right style="thin">
        <color indexed="23"/>
      </right>
      <top style="medium"/>
      <bottom>
        <color indexed="63"/>
      </bottom>
    </border>
    <border>
      <left style="thin">
        <color indexed="23"/>
      </left>
      <right style="thin">
        <color indexed="23"/>
      </right>
      <top style="thin"/>
      <bottom>
        <color indexed="63"/>
      </bottom>
    </border>
    <border>
      <left style="thin">
        <color indexed="23"/>
      </left>
      <right style="medium"/>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style="mediu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style="medium"/>
      <right style="thin">
        <color indexed="23"/>
      </right>
      <top>
        <color indexed="63"/>
      </top>
      <bottom style="thin">
        <color indexed="2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medium"/>
      <right style="medium"/>
      <top>
        <color indexed="63"/>
      </top>
      <bottom style="medium"/>
    </border>
    <border>
      <left style="thin">
        <color indexed="23"/>
      </left>
      <right style="thin">
        <color indexed="23"/>
      </right>
      <top>
        <color indexed="63"/>
      </top>
      <bottom style="thin"/>
    </border>
    <border>
      <left style="thin">
        <color indexed="23"/>
      </left>
      <right style="medium"/>
      <top>
        <color indexed="63"/>
      </top>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medium">
        <color indexed="23"/>
      </right>
      <top style="medium">
        <color indexed="23"/>
      </top>
      <bottom>
        <color indexed="63"/>
      </bottom>
    </border>
    <border>
      <left>
        <color indexed="63"/>
      </left>
      <right style="thin"/>
      <top style="medium"/>
      <bottom style="thin"/>
    </border>
    <border>
      <left style="medium">
        <color indexed="23"/>
      </left>
      <right style="thin"/>
      <top style="thin"/>
      <bottom style="thin"/>
    </border>
    <border>
      <left style="thin">
        <color indexed="23"/>
      </left>
      <right>
        <color indexed="63"/>
      </right>
      <top style="thin">
        <color indexed="23"/>
      </top>
      <bottom style="thin">
        <color indexed="23"/>
      </bottom>
    </border>
    <border>
      <left style="thin">
        <color indexed="23"/>
      </left>
      <right>
        <color indexed="63"/>
      </right>
      <top>
        <color indexed="63"/>
      </top>
      <bottom style="thin">
        <color indexed="23"/>
      </bottom>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thin"/>
      <right style="thin"/>
      <top style="hair"/>
      <bottom style="hair"/>
    </border>
    <border>
      <left style="thin"/>
      <right style="thin"/>
      <top style="thin"/>
      <bottom style="hair"/>
    </border>
    <border>
      <left>
        <color indexed="63"/>
      </left>
      <right style="thin">
        <color indexed="23"/>
      </right>
      <top>
        <color indexed="63"/>
      </top>
      <bottom>
        <color indexed="63"/>
      </bottom>
    </border>
    <border>
      <left style="medium"/>
      <right style="thin">
        <color indexed="23"/>
      </right>
      <top style="thin">
        <color indexed="23"/>
      </top>
      <bottom style="thin">
        <color indexed="55"/>
      </bottom>
    </border>
    <border>
      <left style="thin">
        <color indexed="23"/>
      </left>
      <right style="thin">
        <color indexed="23"/>
      </right>
      <top style="thin">
        <color indexed="23"/>
      </top>
      <bottom style="thin">
        <color indexed="55"/>
      </bottom>
    </border>
    <border>
      <left style="thin">
        <color indexed="23"/>
      </left>
      <right style="medium"/>
      <top style="thin">
        <color indexed="23"/>
      </top>
      <bottom style="thin">
        <color indexed="55"/>
      </bottom>
    </border>
    <border>
      <left style="thin"/>
      <right style="thin"/>
      <top style="hair"/>
      <bottom style="thin"/>
    </border>
    <border>
      <left style="thin"/>
      <right>
        <color indexed="63"/>
      </right>
      <top style="hair"/>
      <bottom style="hair"/>
    </border>
    <border>
      <left style="medium"/>
      <right>
        <color indexed="63"/>
      </right>
      <top>
        <color indexed="63"/>
      </top>
      <bottom style="thin"/>
    </border>
    <border>
      <left style="hair"/>
      <right style="thin"/>
      <top style="medium"/>
      <bottom style="thin"/>
    </border>
    <border>
      <left>
        <color indexed="63"/>
      </left>
      <right style="thin">
        <color indexed="23"/>
      </right>
      <top style="medium"/>
      <bottom style="thin"/>
    </border>
    <border>
      <left style="thin">
        <color indexed="23"/>
      </left>
      <right style="thin">
        <color indexed="23"/>
      </right>
      <top style="medium"/>
      <bottom style="thin"/>
    </border>
    <border>
      <left style="thin">
        <color indexed="23"/>
      </left>
      <right style="medium"/>
      <top style="medium"/>
      <bottom>
        <color indexed="63"/>
      </bottom>
    </border>
    <border>
      <left style="medium"/>
      <right>
        <color indexed="63"/>
      </right>
      <top style="thin"/>
      <bottom>
        <color indexed="63"/>
      </bottom>
    </border>
    <border>
      <left style="hair"/>
      <right style="thin"/>
      <top style="thin"/>
      <bottom>
        <color indexed="63"/>
      </bottom>
    </border>
    <border>
      <left style="thin"/>
      <right style="thin">
        <color indexed="23"/>
      </right>
      <top style="thin"/>
      <bottom>
        <color indexed="63"/>
      </bottom>
    </border>
    <border>
      <left style="thin">
        <color indexed="23"/>
      </left>
      <right style="medium"/>
      <top style="thin"/>
      <bottom>
        <color indexed="63"/>
      </bottom>
    </border>
    <border>
      <left style="medium"/>
      <right>
        <color indexed="63"/>
      </right>
      <top>
        <color indexed="63"/>
      </top>
      <bottom>
        <color indexed="63"/>
      </bottom>
    </border>
    <border>
      <left style="hair"/>
      <right style="thin"/>
      <top>
        <color indexed="63"/>
      </top>
      <bottom>
        <color indexed="63"/>
      </bottom>
    </border>
    <border>
      <left style="thin"/>
      <right style="thin">
        <color indexed="23"/>
      </right>
      <top>
        <color indexed="63"/>
      </top>
      <bottom>
        <color indexed="63"/>
      </bottom>
    </border>
    <border>
      <left style="hair"/>
      <right style="thin"/>
      <top>
        <color indexed="63"/>
      </top>
      <bottom style="thin"/>
    </border>
    <border>
      <left style="thin"/>
      <right style="thin">
        <color indexed="23"/>
      </right>
      <top>
        <color indexed="63"/>
      </top>
      <bottom style="thin"/>
    </border>
    <border>
      <left>
        <color indexed="63"/>
      </left>
      <right style="thin">
        <color indexed="23"/>
      </right>
      <top style="thin"/>
      <bottom>
        <color indexed="63"/>
      </bottom>
    </border>
    <border>
      <left>
        <color indexed="63"/>
      </left>
      <right style="thin">
        <color indexed="23"/>
      </right>
      <top>
        <color indexed="63"/>
      </top>
      <bottom style="thin"/>
    </border>
    <border>
      <left>
        <color indexed="63"/>
      </left>
      <right style="medium"/>
      <top>
        <color indexed="63"/>
      </top>
      <bottom>
        <color indexed="63"/>
      </bottom>
    </border>
    <border>
      <left>
        <color indexed="63"/>
      </left>
      <right style="thin">
        <color indexed="23"/>
      </right>
      <top style="thin"/>
      <bottom style="thin"/>
    </border>
    <border>
      <left style="thin">
        <color indexed="23"/>
      </left>
      <right style="thin">
        <color indexed="23"/>
      </right>
      <top style="thin"/>
      <bottom style="thin"/>
    </border>
    <border>
      <left>
        <color indexed="63"/>
      </left>
      <right style="medium"/>
      <top>
        <color indexed="63"/>
      </top>
      <bottom style="thin"/>
    </border>
    <border>
      <left style="thin">
        <color indexed="23"/>
      </left>
      <right style="thin">
        <color indexed="23"/>
      </right>
      <top>
        <color indexed="63"/>
      </top>
      <bottom style="medium"/>
    </border>
    <border>
      <left style="thin">
        <color indexed="23"/>
      </left>
      <right style="medium"/>
      <top>
        <color indexed="63"/>
      </top>
      <bottom style="medium"/>
    </border>
    <border>
      <left style="medium"/>
      <right>
        <color indexed="63"/>
      </right>
      <top style="medium"/>
      <bottom>
        <color indexed="63"/>
      </bottom>
    </border>
    <border>
      <left style="thin"/>
      <right style="thin">
        <color indexed="23"/>
      </right>
      <top style="medium"/>
      <bottom>
        <color indexed="63"/>
      </bottom>
    </border>
    <border>
      <left style="thin"/>
      <right>
        <color indexed="63"/>
      </right>
      <top style="medium"/>
      <bottom style="mediu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thin">
        <color indexed="23"/>
      </left>
      <right>
        <color indexed="63"/>
      </right>
      <top style="medium"/>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border>
    <border>
      <left>
        <color indexed="63"/>
      </left>
      <right style="thin">
        <color indexed="23"/>
      </right>
      <top style="medium"/>
      <bottom>
        <color indexed="63"/>
      </bottom>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thin"/>
    </border>
    <border>
      <left>
        <color indexed="63"/>
      </left>
      <right style="thin">
        <color indexed="23"/>
      </right>
      <top>
        <color indexed="63"/>
      </top>
      <bottom style="medium"/>
    </border>
    <border>
      <left style="medium"/>
      <right>
        <color indexed="63"/>
      </right>
      <top style="thin"/>
      <bottom style="medium"/>
    </border>
    <border>
      <left>
        <color indexed="63"/>
      </left>
      <right style="thin">
        <color indexed="23"/>
      </right>
      <top style="thin"/>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6"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31" fillId="0" borderId="0" applyNumberFormat="0" applyFill="0" applyBorder="0" applyAlignment="0" applyProtection="0"/>
    <xf numFmtId="0" fontId="82" fillId="32"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32" fillId="0" borderId="0" applyNumberFormat="0" applyFill="0" applyBorder="0" applyAlignment="0" applyProtection="0"/>
    <xf numFmtId="0" fontId="86" fillId="33" borderId="1" applyNumberFormat="0" applyAlignment="0" applyProtection="0"/>
    <xf numFmtId="0" fontId="87" fillId="0" borderId="6" applyNumberFormat="0" applyFill="0" applyAlignment="0" applyProtection="0"/>
    <xf numFmtId="0" fontId="88" fillId="34" borderId="0" applyNumberFormat="0" applyBorder="0" applyAlignment="0" applyProtection="0"/>
    <xf numFmtId="0" fontId="0" fillId="35"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81" fillId="0" borderId="9" applyNumberFormat="0" applyFill="0" applyAlignment="0" applyProtection="0"/>
    <xf numFmtId="0" fontId="91" fillId="0" borderId="0" applyNumberFormat="0" applyFill="0" applyBorder="0" applyAlignment="0" applyProtection="0"/>
  </cellStyleXfs>
  <cellXfs count="941">
    <xf numFmtId="0" fontId="0" fillId="0" borderId="0" xfId="0" applyAlignment="1">
      <alignment/>
    </xf>
    <xf numFmtId="0" fontId="0" fillId="0" borderId="0" xfId="0" applyAlignment="1">
      <alignment wrapText="1"/>
    </xf>
    <xf numFmtId="3" fontId="0" fillId="0" borderId="0" xfId="0" applyNumberFormat="1" applyAlignment="1">
      <alignment wrapText="1"/>
    </xf>
    <xf numFmtId="3" fontId="0" fillId="0" borderId="0" xfId="0" applyNumberFormat="1" applyBorder="1" applyAlignment="1">
      <alignment wrapText="1"/>
    </xf>
    <xf numFmtId="3" fontId="0" fillId="0" borderId="0" xfId="0" applyNumberFormat="1" applyFill="1" applyBorder="1" applyAlignment="1">
      <alignment wrapText="1"/>
    </xf>
    <xf numFmtId="0" fontId="0" fillId="0" borderId="10" xfId="0" applyBorder="1" applyAlignment="1">
      <alignment wrapText="1"/>
    </xf>
    <xf numFmtId="0" fontId="2" fillId="0" borderId="0" xfId="0" applyFont="1" applyAlignment="1">
      <alignment wrapText="1"/>
    </xf>
    <xf numFmtId="3" fontId="2" fillId="0" borderId="0" xfId="0" applyNumberFormat="1" applyFont="1" applyAlignment="1">
      <alignment wrapText="1"/>
    </xf>
    <xf numFmtId="3" fontId="2" fillId="0" borderId="0" xfId="0" applyNumberFormat="1" applyFont="1" applyFill="1" applyBorder="1" applyAlignment="1">
      <alignment wrapText="1"/>
    </xf>
    <xf numFmtId="3" fontId="0" fillId="0" borderId="0" xfId="0" applyNumberFormat="1" applyAlignment="1">
      <alignment/>
    </xf>
    <xf numFmtId="0" fontId="0" fillId="0" borderId="0" xfId="0" applyAlignment="1">
      <alignment/>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3" fontId="0" fillId="0" borderId="12" xfId="0" applyNumberFormat="1" applyBorder="1" applyAlignment="1">
      <alignment wrapText="1"/>
    </xf>
    <xf numFmtId="0" fontId="0" fillId="0" borderId="12" xfId="0" applyBorder="1" applyAlignment="1">
      <alignment wrapText="1"/>
    </xf>
    <xf numFmtId="0" fontId="11" fillId="0" borderId="0" xfId="0" applyFont="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xf>
    <xf numFmtId="0" fontId="0" fillId="0" borderId="10" xfId="0"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13" xfId="0" applyFont="1" applyBorder="1" applyAlignment="1">
      <alignment/>
    </xf>
    <xf numFmtId="0" fontId="0" fillId="0" borderId="14" xfId="0" applyFont="1" applyBorder="1" applyAlignment="1">
      <alignment wrapText="1"/>
    </xf>
    <xf numFmtId="0" fontId="0" fillId="0" borderId="15" xfId="0" applyFont="1" applyBorder="1" applyAlignment="1">
      <alignment/>
    </xf>
    <xf numFmtId="0" fontId="0" fillId="0" borderId="10" xfId="0" applyFont="1" applyBorder="1" applyAlignment="1">
      <alignment/>
    </xf>
    <xf numFmtId="0" fontId="0" fillId="0" borderId="16" xfId="0" applyFont="1" applyBorder="1" applyAlignment="1">
      <alignment wrapText="1"/>
    </xf>
    <xf numFmtId="0" fontId="0" fillId="0" borderId="17" xfId="0" applyFont="1" applyBorder="1" applyAlignment="1">
      <alignment/>
    </xf>
    <xf numFmtId="0" fontId="0" fillId="0" borderId="18" xfId="0" applyFont="1" applyBorder="1" applyAlignment="1">
      <alignment wrapText="1"/>
    </xf>
    <xf numFmtId="0" fontId="0" fillId="0" borderId="19" xfId="0" applyFont="1" applyFill="1" applyBorder="1" applyAlignment="1">
      <alignment/>
    </xf>
    <xf numFmtId="0" fontId="0" fillId="0" borderId="20" xfId="0" applyFont="1" applyBorder="1" applyAlignment="1">
      <alignment/>
    </xf>
    <xf numFmtId="0" fontId="0" fillId="0" borderId="21" xfId="0" applyFont="1" applyBorder="1" applyAlignment="1">
      <alignment wrapText="1"/>
    </xf>
    <xf numFmtId="0" fontId="0" fillId="0" borderId="15" xfId="0" applyFont="1" applyFill="1" applyBorder="1" applyAlignment="1">
      <alignment/>
    </xf>
    <xf numFmtId="0" fontId="0" fillId="0" borderId="10" xfId="0" applyFont="1" applyFill="1" applyBorder="1" applyAlignment="1">
      <alignment/>
    </xf>
    <xf numFmtId="0" fontId="0" fillId="0" borderId="22" xfId="0" applyFont="1" applyFill="1" applyBorder="1" applyAlignment="1">
      <alignment/>
    </xf>
    <xf numFmtId="0" fontId="0" fillId="0" borderId="0" xfId="0" applyFont="1" applyFill="1" applyBorder="1" applyAlignment="1">
      <alignment/>
    </xf>
    <xf numFmtId="10" fontId="9" fillId="0" borderId="0" xfId="0" applyNumberFormat="1" applyFont="1" applyFill="1" applyBorder="1" applyAlignment="1" applyProtection="1">
      <alignment horizontal="center"/>
      <protection locked="0"/>
    </xf>
    <xf numFmtId="0" fontId="2" fillId="0" borderId="23" xfId="0" applyFont="1" applyBorder="1" applyAlignment="1">
      <alignment horizontal="center" vertical="center" wrapText="1"/>
    </xf>
    <xf numFmtId="0" fontId="0" fillId="0" borderId="19" xfId="0" applyFont="1" applyBorder="1" applyAlignment="1">
      <alignment/>
    </xf>
    <xf numFmtId="0" fontId="0" fillId="0" borderId="10" xfId="0" applyFont="1" applyBorder="1" applyAlignment="1">
      <alignment wrapText="1"/>
    </xf>
    <xf numFmtId="10" fontId="9" fillId="0" borderId="0" xfId="0" applyNumberFormat="1" applyFont="1" applyBorder="1" applyAlignment="1">
      <alignment/>
    </xf>
    <xf numFmtId="0" fontId="0" fillId="0" borderId="0" xfId="0" applyFont="1" applyAlignment="1">
      <alignment/>
    </xf>
    <xf numFmtId="0" fontId="0" fillId="0" borderId="24" xfId="0" applyFont="1" applyBorder="1" applyAlignment="1">
      <alignment/>
    </xf>
    <xf numFmtId="0" fontId="0" fillId="0" borderId="13" xfId="0" applyFont="1" applyBorder="1" applyAlignment="1">
      <alignment horizontal="center"/>
    </xf>
    <xf numFmtId="0" fontId="0" fillId="0" borderId="10" xfId="0" applyFont="1" applyBorder="1" applyAlignment="1">
      <alignment horizontal="center"/>
    </xf>
    <xf numFmtId="0" fontId="0" fillId="0" borderId="25" xfId="0" applyFont="1" applyBorder="1" applyAlignment="1">
      <alignment/>
    </xf>
    <xf numFmtId="0" fontId="0" fillId="0" borderId="26" xfId="0" applyFont="1" applyBorder="1" applyAlignment="1">
      <alignment horizontal="center"/>
    </xf>
    <xf numFmtId="0" fontId="0" fillId="0" borderId="27" xfId="0" applyFont="1" applyBorder="1" applyAlignment="1">
      <alignment wrapText="1"/>
    </xf>
    <xf numFmtId="0" fontId="0" fillId="0" borderId="25" xfId="0" applyFont="1" applyFill="1" applyBorder="1" applyAlignment="1">
      <alignment/>
    </xf>
    <xf numFmtId="0" fontId="0" fillId="0" borderId="28" xfId="0" applyBorder="1" applyAlignment="1">
      <alignment vertical="center" wrapText="1"/>
    </xf>
    <xf numFmtId="0" fontId="15" fillId="0" borderId="0" xfId="0" applyFont="1" applyAlignment="1">
      <alignment/>
    </xf>
    <xf numFmtId="1" fontId="16" fillId="0" borderId="0" xfId="0" applyNumberFormat="1" applyFont="1" applyAlignment="1">
      <alignment horizontal="center"/>
    </xf>
    <xf numFmtId="9" fontId="16" fillId="0" borderId="0" xfId="0" applyNumberFormat="1" applyFont="1" applyAlignment="1">
      <alignment horizontal="right"/>
    </xf>
    <xf numFmtId="0" fontId="16" fillId="0" borderId="0" xfId="0" applyFont="1" applyAlignment="1">
      <alignment/>
    </xf>
    <xf numFmtId="1" fontId="16" fillId="0" borderId="0" xfId="0" applyNumberFormat="1" applyFont="1" applyAlignment="1">
      <alignment horizontal="left"/>
    </xf>
    <xf numFmtId="0" fontId="17" fillId="0" borderId="0" xfId="0" applyFont="1" applyAlignment="1" applyProtection="1">
      <alignment horizontal="left"/>
      <protection/>
    </xf>
    <xf numFmtId="1" fontId="17" fillId="0" borderId="0" xfId="0" applyNumberFormat="1" applyFont="1" applyAlignment="1">
      <alignment horizontal="center"/>
    </xf>
    <xf numFmtId="9" fontId="17" fillId="0" borderId="0" xfId="0" applyNumberFormat="1" applyFont="1" applyAlignment="1">
      <alignment horizontal="center"/>
    </xf>
    <xf numFmtId="0" fontId="17" fillId="0" borderId="0" xfId="0" applyFont="1" applyAlignment="1">
      <alignment/>
    </xf>
    <xf numFmtId="17" fontId="17" fillId="0" borderId="0" xfId="0" applyNumberFormat="1" applyFont="1" applyAlignment="1" quotePrefix="1">
      <alignment horizontal="right"/>
    </xf>
    <xf numFmtId="1" fontId="16" fillId="0" borderId="0" xfId="0" applyNumberFormat="1" applyFont="1" applyAlignment="1" applyProtection="1">
      <alignment horizontal="center"/>
      <protection/>
    </xf>
    <xf numFmtId="9" fontId="16" fillId="0" borderId="0" xfId="0" applyNumberFormat="1" applyFont="1" applyAlignment="1" applyProtection="1">
      <alignment horizontal="center"/>
      <protection/>
    </xf>
    <xf numFmtId="9" fontId="16" fillId="0" borderId="0" xfId="0" applyNumberFormat="1" applyFont="1" applyAlignment="1">
      <alignment horizontal="center"/>
    </xf>
    <xf numFmtId="0" fontId="16" fillId="0" borderId="0" xfId="0" applyFont="1" applyAlignment="1" applyProtection="1">
      <alignment horizontal="left"/>
      <protection/>
    </xf>
    <xf numFmtId="1" fontId="16" fillId="36" borderId="0" xfId="0" applyNumberFormat="1" applyFont="1" applyFill="1" applyAlignment="1" applyProtection="1">
      <alignment horizontal="center"/>
      <protection/>
    </xf>
    <xf numFmtId="0" fontId="18" fillId="0" borderId="0" xfId="0" applyFont="1" applyAlignment="1" applyProtection="1">
      <alignment horizontal="left"/>
      <protection/>
    </xf>
    <xf numFmtId="0" fontId="19" fillId="0" borderId="29" xfId="0" applyFont="1" applyBorder="1" applyAlignment="1" applyProtection="1">
      <alignment horizontal="left"/>
      <protection/>
    </xf>
    <xf numFmtId="1" fontId="20" fillId="0" borderId="29" xfId="0" applyNumberFormat="1" applyFont="1" applyBorder="1" applyAlignment="1">
      <alignment horizontal="center"/>
    </xf>
    <xf numFmtId="1" fontId="20" fillId="36" borderId="29" xfId="0" applyNumberFormat="1" applyFont="1" applyFill="1" applyBorder="1" applyAlignment="1">
      <alignment horizontal="center"/>
    </xf>
    <xf numFmtId="9" fontId="20" fillId="0" borderId="29" xfId="0" applyNumberFormat="1" applyFont="1" applyBorder="1" applyAlignment="1">
      <alignment horizontal="center"/>
    </xf>
    <xf numFmtId="0" fontId="20" fillId="0" borderId="0" xfId="0" applyFont="1" applyAlignment="1">
      <alignment/>
    </xf>
    <xf numFmtId="0" fontId="20" fillId="0" borderId="29" xfId="0" applyFont="1" applyBorder="1" applyAlignment="1">
      <alignment/>
    </xf>
    <xf numFmtId="9" fontId="20" fillId="0" borderId="29" xfId="0" applyNumberFormat="1" applyFont="1" applyBorder="1" applyAlignment="1" quotePrefix="1">
      <alignment horizontal="center"/>
    </xf>
    <xf numFmtId="1" fontId="20" fillId="0" borderId="29" xfId="0" applyNumberFormat="1" applyFont="1" applyBorder="1" applyAlignment="1" applyProtection="1">
      <alignment/>
      <protection/>
    </xf>
    <xf numFmtId="0" fontId="19" fillId="0" borderId="29" xfId="0" applyFont="1" applyBorder="1" applyAlignment="1">
      <alignment/>
    </xf>
    <xf numFmtId="9" fontId="20" fillId="0" borderId="30" xfId="0" applyNumberFormat="1" applyFont="1" applyBorder="1" applyAlignment="1">
      <alignment horizontal="center"/>
    </xf>
    <xf numFmtId="9" fontId="20" fillId="0" borderId="31" xfId="0" applyNumberFormat="1" applyFont="1" applyBorder="1" applyAlignment="1">
      <alignment horizontal="center"/>
    </xf>
    <xf numFmtId="1" fontId="20" fillId="0" borderId="29" xfId="0" applyNumberFormat="1" applyFont="1" applyBorder="1" applyAlignment="1" applyProtection="1">
      <alignment horizontal="center"/>
      <protection/>
    </xf>
    <xf numFmtId="1" fontId="20" fillId="36" borderId="29" xfId="0" applyNumberFormat="1" applyFont="1" applyFill="1" applyBorder="1" applyAlignment="1" applyProtection="1">
      <alignment horizontal="center"/>
      <protection/>
    </xf>
    <xf numFmtId="9" fontId="20" fillId="0" borderId="29" xfId="0" applyNumberFormat="1" applyFont="1" applyFill="1" applyBorder="1" applyAlignment="1" applyProtection="1">
      <alignment horizontal="center"/>
      <protection/>
    </xf>
    <xf numFmtId="9" fontId="20" fillId="0" borderId="32" xfId="0" applyNumberFormat="1" applyFont="1" applyBorder="1" applyAlignment="1">
      <alignment horizontal="center"/>
    </xf>
    <xf numFmtId="1" fontId="19" fillId="0" borderId="29" xfId="0" applyNumberFormat="1" applyFont="1" applyBorder="1" applyAlignment="1" applyProtection="1">
      <alignment/>
      <protection/>
    </xf>
    <xf numFmtId="0" fontId="16" fillId="0" borderId="29" xfId="0" applyFont="1" applyBorder="1" applyAlignment="1">
      <alignment/>
    </xf>
    <xf numFmtId="0" fontId="20" fillId="0" borderId="0" xfId="0" applyFont="1" applyFill="1" applyAlignment="1">
      <alignment/>
    </xf>
    <xf numFmtId="9" fontId="20" fillId="0" borderId="29" xfId="0" applyNumberFormat="1" applyFont="1" applyBorder="1" applyAlignment="1" applyProtection="1">
      <alignment horizontal="center"/>
      <protection/>
    </xf>
    <xf numFmtId="1" fontId="20" fillId="0" borderId="29" xfId="0" applyNumberFormat="1" applyFont="1" applyBorder="1" applyAlignment="1">
      <alignment/>
    </xf>
    <xf numFmtId="0" fontId="16" fillId="0" borderId="0" xfId="0" applyFont="1" applyBorder="1" applyAlignment="1">
      <alignment/>
    </xf>
    <xf numFmtId="0" fontId="16" fillId="0" borderId="0" xfId="0" applyFont="1" applyBorder="1" applyAlignment="1">
      <alignment horizontal="center"/>
    </xf>
    <xf numFmtId="1" fontId="20" fillId="0" borderId="0" xfId="0" applyNumberFormat="1" applyFont="1" applyBorder="1" applyAlignment="1">
      <alignment horizontal="center"/>
    </xf>
    <xf numFmtId="9" fontId="20" fillId="0" borderId="0" xfId="0" applyNumberFormat="1" applyFont="1" applyBorder="1" applyAlignment="1">
      <alignment horizontal="center"/>
    </xf>
    <xf numFmtId="0" fontId="21" fillId="0" borderId="0" xfId="0" applyFont="1" applyBorder="1" applyAlignment="1">
      <alignment/>
    </xf>
    <xf numFmtId="1" fontId="21" fillId="0" borderId="0" xfId="0" applyNumberFormat="1" applyFont="1" applyBorder="1" applyAlignment="1">
      <alignment horizontal="center"/>
    </xf>
    <xf numFmtId="0" fontId="21" fillId="0" borderId="0" xfId="0" applyFont="1" applyBorder="1" applyAlignment="1">
      <alignment horizontal="center"/>
    </xf>
    <xf numFmtId="0" fontId="11" fillId="0" borderId="0" xfId="0" applyFont="1" applyAlignment="1">
      <alignment/>
    </xf>
    <xf numFmtId="0" fontId="0" fillId="0" borderId="33" xfId="0" applyFill="1" applyBorder="1" applyAlignment="1">
      <alignment/>
    </xf>
    <xf numFmtId="0" fontId="0" fillId="0" borderId="33" xfId="0" applyBorder="1" applyAlignment="1">
      <alignment wrapText="1"/>
    </xf>
    <xf numFmtId="0" fontId="0" fillId="0" borderId="33" xfId="0" applyBorder="1" applyAlignment="1">
      <alignment/>
    </xf>
    <xf numFmtId="0" fontId="2" fillId="0" borderId="34" xfId="0" applyFont="1" applyBorder="1" applyAlignment="1">
      <alignment horizontal="center" vertical="center" wrapText="1"/>
    </xf>
    <xf numFmtId="10" fontId="9" fillId="0" borderId="0" xfId="0" applyNumberFormat="1" applyFont="1" applyBorder="1" applyAlignment="1">
      <alignment horizontal="right"/>
    </xf>
    <xf numFmtId="0" fontId="2" fillId="0" borderId="33" xfId="0" applyFont="1" applyBorder="1" applyAlignment="1">
      <alignment/>
    </xf>
    <xf numFmtId="0" fontId="4" fillId="0" borderId="33" xfId="0" applyFont="1" applyBorder="1" applyAlignment="1">
      <alignment wrapText="1"/>
    </xf>
    <xf numFmtId="0" fontId="0" fillId="0" borderId="33" xfId="0" applyFont="1" applyBorder="1" applyAlignment="1">
      <alignment/>
    </xf>
    <xf numFmtId="0" fontId="0" fillId="0" borderId="33" xfId="0" applyFont="1" applyBorder="1" applyAlignment="1">
      <alignment wrapText="1"/>
    </xf>
    <xf numFmtId="2" fontId="9" fillId="37" borderId="10" xfId="0" applyNumberFormat="1" applyFont="1" applyFill="1" applyBorder="1" applyAlignment="1">
      <alignment/>
    </xf>
    <xf numFmtId="4" fontId="9" fillId="37" borderId="10" xfId="0" applyNumberFormat="1" applyFont="1" applyFill="1" applyBorder="1" applyAlignment="1">
      <alignment/>
    </xf>
    <xf numFmtId="4" fontId="9" fillId="37" borderId="20" xfId="0" applyNumberFormat="1" applyFont="1" applyFill="1" applyBorder="1" applyAlignment="1">
      <alignment/>
    </xf>
    <xf numFmtId="0" fontId="9" fillId="37" borderId="10" xfId="0" applyFont="1" applyFill="1" applyBorder="1" applyAlignment="1">
      <alignment/>
    </xf>
    <xf numFmtId="0" fontId="2" fillId="0" borderId="0" xfId="0" applyFont="1" applyBorder="1" applyAlignment="1">
      <alignment horizontal="center" vertical="center" wrapText="1"/>
    </xf>
    <xf numFmtId="0" fontId="0" fillId="0" borderId="35" xfId="0" applyBorder="1" applyAlignment="1">
      <alignment wrapText="1"/>
    </xf>
    <xf numFmtId="3" fontId="0" fillId="0" borderId="0" xfId="0" applyNumberFormat="1" applyAlignment="1">
      <alignment horizontal="right" wrapText="1"/>
    </xf>
    <xf numFmtId="0" fontId="0" fillId="0" borderId="0" xfId="0" applyAlignment="1">
      <alignment horizontal="right" wrapText="1"/>
    </xf>
    <xf numFmtId="3" fontId="0" fillId="0" borderId="12" xfId="0" applyNumberFormat="1" applyFill="1" applyBorder="1" applyAlignment="1">
      <alignment wrapText="1"/>
    </xf>
    <xf numFmtId="3" fontId="9" fillId="0" borderId="12" xfId="0" applyNumberFormat="1" applyFont="1" applyFill="1" applyBorder="1" applyAlignment="1">
      <alignment wrapText="1"/>
    </xf>
    <xf numFmtId="3" fontId="0" fillId="0" borderId="12" xfId="0" applyNumberFormat="1" applyFont="1" applyFill="1" applyBorder="1" applyAlignment="1">
      <alignment wrapText="1"/>
    </xf>
    <xf numFmtId="3" fontId="9" fillId="0" borderId="12" xfId="0" applyNumberFormat="1" applyFont="1" applyFill="1" applyBorder="1" applyAlignment="1">
      <alignment wrapText="1"/>
    </xf>
    <xf numFmtId="3" fontId="9" fillId="0" borderId="0" xfId="0" applyNumberFormat="1" applyFont="1" applyFill="1" applyBorder="1" applyAlignment="1">
      <alignment wrapText="1"/>
    </xf>
    <xf numFmtId="0" fontId="9" fillId="0" borderId="0" xfId="0" applyFont="1" applyFill="1" applyBorder="1" applyAlignment="1">
      <alignment wrapText="1"/>
    </xf>
    <xf numFmtId="10" fontId="9" fillId="37" borderId="10" xfId="0" applyNumberFormat="1" applyFont="1" applyFill="1" applyBorder="1" applyAlignment="1">
      <alignment horizontal="right"/>
    </xf>
    <xf numFmtId="0" fontId="0" fillId="38" borderId="0" xfId="0" applyFill="1" applyAlignment="1">
      <alignment/>
    </xf>
    <xf numFmtId="3" fontId="0" fillId="0" borderId="33" xfId="0" applyNumberFormat="1" applyBorder="1" applyAlignment="1">
      <alignment wrapText="1"/>
    </xf>
    <xf numFmtId="4" fontId="0" fillId="0" borderId="33" xfId="0" applyNumberFormat="1" applyBorder="1" applyAlignment="1">
      <alignment wrapText="1"/>
    </xf>
    <xf numFmtId="0" fontId="0" fillId="0" borderId="26" xfId="0" applyFont="1" applyBorder="1" applyAlignment="1">
      <alignment/>
    </xf>
    <xf numFmtId="9" fontId="9" fillId="37" borderId="33" xfId="0" applyNumberFormat="1" applyFont="1" applyFill="1" applyBorder="1" applyAlignment="1">
      <alignment horizontal="right"/>
    </xf>
    <xf numFmtId="4" fontId="9" fillId="37" borderId="33" xfId="0" applyNumberFormat="1" applyFont="1" applyFill="1" applyBorder="1" applyAlignment="1" applyProtection="1">
      <alignment horizontal="right"/>
      <protection locked="0"/>
    </xf>
    <xf numFmtId="3" fontId="9" fillId="37" borderId="20" xfId="0" applyNumberFormat="1" applyFont="1" applyFill="1" applyBorder="1" applyAlignment="1" applyProtection="1">
      <alignment horizontal="right"/>
      <protection locked="0"/>
    </xf>
    <xf numFmtId="3" fontId="9" fillId="37" borderId="10" xfId="0" applyNumberFormat="1" applyFont="1" applyFill="1" applyBorder="1" applyAlignment="1" applyProtection="1">
      <alignment horizontal="right"/>
      <protection locked="0"/>
    </xf>
    <xf numFmtId="10" fontId="9" fillId="37" borderId="10" xfId="0" applyNumberFormat="1" applyFont="1" applyFill="1" applyBorder="1" applyAlignment="1" applyProtection="1">
      <alignment horizontal="right"/>
      <protection locked="0"/>
    </xf>
    <xf numFmtId="10" fontId="9" fillId="37" borderId="26" xfId="0" applyNumberFormat="1" applyFont="1" applyFill="1" applyBorder="1" applyAlignment="1">
      <alignment horizontal="right"/>
    </xf>
    <xf numFmtId="10" fontId="9" fillId="37" borderId="17" xfId="0" applyNumberFormat="1" applyFont="1" applyFill="1" applyBorder="1" applyAlignment="1" applyProtection="1">
      <alignment horizontal="right"/>
      <protection locked="0"/>
    </xf>
    <xf numFmtId="4" fontId="0" fillId="0" borderId="0" xfId="0" applyNumberFormat="1" applyAlignment="1">
      <alignment/>
    </xf>
    <xf numFmtId="0" fontId="26" fillId="0" borderId="0" xfId="0" applyFont="1" applyAlignment="1">
      <alignment vertical="center"/>
    </xf>
    <xf numFmtId="0" fontId="10" fillId="0" borderId="0" xfId="0" applyFont="1" applyAlignment="1">
      <alignment wrapText="1"/>
    </xf>
    <xf numFmtId="0" fontId="2" fillId="0" borderId="36" xfId="0" applyFont="1" applyBorder="1" applyAlignment="1">
      <alignment horizontal="center"/>
    </xf>
    <xf numFmtId="0" fontId="2" fillId="0" borderId="0" xfId="0" applyFont="1" applyAlignment="1">
      <alignment/>
    </xf>
    <xf numFmtId="3" fontId="2" fillId="0" borderId="0" xfId="0" applyNumberFormat="1" applyFont="1" applyAlignment="1">
      <alignment/>
    </xf>
    <xf numFmtId="0" fontId="10" fillId="0" borderId="0" xfId="0" applyFont="1" applyAlignment="1">
      <alignment/>
    </xf>
    <xf numFmtId="170" fontId="0" fillId="0" borderId="33" xfId="0" applyNumberFormat="1" applyFont="1" applyBorder="1" applyAlignment="1">
      <alignment/>
    </xf>
    <xf numFmtId="4" fontId="0" fillId="0" borderId="0" xfId="0" applyNumberFormat="1" applyFont="1" applyBorder="1" applyAlignment="1">
      <alignment/>
    </xf>
    <xf numFmtId="4" fontId="0" fillId="0" borderId="33" xfId="0" applyNumberFormat="1" applyBorder="1" applyAlignment="1">
      <alignment/>
    </xf>
    <xf numFmtId="4" fontId="2" fillId="0" borderId="0" xfId="0" applyNumberFormat="1" applyFont="1" applyAlignment="1">
      <alignment/>
    </xf>
    <xf numFmtId="0" fontId="29" fillId="0" borderId="33" xfId="0" applyFont="1" applyBorder="1" applyAlignment="1">
      <alignment/>
    </xf>
    <xf numFmtId="2" fontId="29" fillId="0" borderId="33" xfId="0" applyNumberFormat="1" applyFont="1" applyBorder="1" applyAlignment="1">
      <alignment horizontal="right"/>
    </xf>
    <xf numFmtId="0" fontId="29" fillId="0" borderId="36" xfId="0" applyFont="1" applyBorder="1" applyAlignment="1">
      <alignment/>
    </xf>
    <xf numFmtId="0" fontId="0" fillId="0" borderId="0" xfId="0" applyAlignment="1">
      <alignment horizontal="right"/>
    </xf>
    <xf numFmtId="0" fontId="30" fillId="0" borderId="37" xfId="0" applyFont="1" applyFill="1" applyBorder="1" applyAlignment="1">
      <alignment/>
    </xf>
    <xf numFmtId="4" fontId="30" fillId="0" borderId="37" xfId="0" applyNumberFormat="1" applyFont="1" applyBorder="1" applyAlignment="1">
      <alignment/>
    </xf>
    <xf numFmtId="0" fontId="30" fillId="0" borderId="33" xfId="0" applyFont="1" applyFill="1" applyBorder="1" applyAlignment="1">
      <alignment/>
    </xf>
    <xf numFmtId="4" fontId="30" fillId="0" borderId="33" xfId="0" applyNumberFormat="1" applyFont="1" applyBorder="1" applyAlignment="1">
      <alignment/>
    </xf>
    <xf numFmtId="0" fontId="25" fillId="0" borderId="0" xfId="0" applyFont="1" applyAlignment="1">
      <alignment vertical="center"/>
    </xf>
    <xf numFmtId="0" fontId="6" fillId="0" borderId="33" xfId="0" applyFont="1" applyBorder="1" applyAlignment="1">
      <alignment/>
    </xf>
    <xf numFmtId="3" fontId="0" fillId="0" borderId="33" xfId="0" applyNumberFormat="1" applyBorder="1" applyAlignment="1">
      <alignment/>
    </xf>
    <xf numFmtId="3" fontId="0" fillId="39" borderId="33" xfId="0" applyNumberFormat="1" applyFill="1" applyBorder="1" applyAlignment="1">
      <alignment/>
    </xf>
    <xf numFmtId="0" fontId="0" fillId="0" borderId="38" xfId="0" applyBorder="1" applyAlignment="1">
      <alignment wrapText="1"/>
    </xf>
    <xf numFmtId="0" fontId="3" fillId="0" borderId="33" xfId="0" applyFont="1" applyBorder="1" applyAlignment="1">
      <alignment/>
    </xf>
    <xf numFmtId="3" fontId="2" fillId="0" borderId="33" xfId="0" applyNumberFormat="1" applyFont="1" applyBorder="1" applyAlignment="1">
      <alignment/>
    </xf>
    <xf numFmtId="3" fontId="2" fillId="39" borderId="33" xfId="0" applyNumberFormat="1" applyFont="1" applyFill="1" applyBorder="1" applyAlignment="1">
      <alignment/>
    </xf>
    <xf numFmtId="0" fontId="2" fillId="0" borderId="38" xfId="0" applyFont="1" applyBorder="1" applyAlignment="1">
      <alignment wrapText="1"/>
    </xf>
    <xf numFmtId="3" fontId="0" fillId="39" borderId="0" xfId="0" applyNumberFormat="1" applyFill="1" applyAlignment="1">
      <alignment/>
    </xf>
    <xf numFmtId="0" fontId="2" fillId="0" borderId="0" xfId="0" applyFont="1" applyFill="1" applyBorder="1" applyAlignment="1">
      <alignment/>
    </xf>
    <xf numFmtId="2" fontId="0" fillId="0" borderId="33" xfId="0" applyNumberFormat="1" applyBorder="1" applyAlignment="1">
      <alignment/>
    </xf>
    <xf numFmtId="4" fontId="0" fillId="39" borderId="33" xfId="0" applyNumberFormat="1" applyFill="1" applyBorder="1" applyAlignment="1">
      <alignment/>
    </xf>
    <xf numFmtId="8" fontId="0" fillId="0" borderId="0" xfId="0" applyNumberFormat="1" applyAlignment="1">
      <alignment/>
    </xf>
    <xf numFmtId="0" fontId="2" fillId="0" borderId="39" xfId="0" applyFont="1" applyBorder="1" applyAlignment="1">
      <alignment wrapText="1"/>
    </xf>
    <xf numFmtId="0" fontId="2" fillId="0" borderId="40" xfId="0" applyFont="1" applyBorder="1" applyAlignment="1">
      <alignment wrapText="1"/>
    </xf>
    <xf numFmtId="0" fontId="2" fillId="0" borderId="40" xfId="0" applyFont="1" applyBorder="1" applyAlignment="1">
      <alignment/>
    </xf>
    <xf numFmtId="3" fontId="2" fillId="0" borderId="40" xfId="0" applyNumberFormat="1" applyFont="1" applyBorder="1" applyAlignment="1">
      <alignment/>
    </xf>
    <xf numFmtId="3" fontId="2" fillId="39" borderId="40" xfId="0" applyNumberFormat="1" applyFont="1" applyFill="1" applyBorder="1" applyAlignment="1">
      <alignment/>
    </xf>
    <xf numFmtId="0" fontId="2" fillId="0" borderId="41" xfId="0" applyFont="1" applyBorder="1" applyAlignment="1">
      <alignment/>
    </xf>
    <xf numFmtId="0" fontId="0" fillId="0" borderId="41" xfId="0" applyBorder="1" applyAlignment="1">
      <alignment/>
    </xf>
    <xf numFmtId="0" fontId="0" fillId="0" borderId="39" xfId="0" applyBorder="1" applyAlignment="1">
      <alignment wrapText="1"/>
    </xf>
    <xf numFmtId="0" fontId="0" fillId="0" borderId="40" xfId="0" applyBorder="1" applyAlignment="1">
      <alignment wrapText="1"/>
    </xf>
    <xf numFmtId="0" fontId="0" fillId="0" borderId="40" xfId="0" applyBorder="1" applyAlignment="1">
      <alignment/>
    </xf>
    <xf numFmtId="3" fontId="0" fillId="0" borderId="40" xfId="0" applyNumberFormat="1" applyBorder="1" applyAlignment="1">
      <alignment/>
    </xf>
    <xf numFmtId="3" fontId="0" fillId="39" borderId="40" xfId="0" applyNumberFormat="1" applyFill="1" applyBorder="1" applyAlignment="1">
      <alignment/>
    </xf>
    <xf numFmtId="38" fontId="2" fillId="0" borderId="33" xfId="0" applyNumberFormat="1" applyFont="1" applyBorder="1" applyAlignment="1">
      <alignment/>
    </xf>
    <xf numFmtId="3" fontId="0" fillId="0" borderId="42" xfId="0" applyNumberFormat="1" applyBorder="1" applyAlignment="1">
      <alignment/>
    </xf>
    <xf numFmtId="0" fontId="0" fillId="0" borderId="0" xfId="0" applyBorder="1" applyAlignment="1">
      <alignment/>
    </xf>
    <xf numFmtId="8" fontId="0" fillId="0" borderId="43" xfId="0" applyNumberFormat="1" applyBorder="1" applyAlignment="1">
      <alignment/>
    </xf>
    <xf numFmtId="8" fontId="0" fillId="0" borderId="43" xfId="0" applyNumberFormat="1" applyBorder="1" applyAlignment="1">
      <alignment wrapText="1"/>
    </xf>
    <xf numFmtId="0" fontId="2" fillId="0" borderId="39" xfId="0" applyFont="1" applyBorder="1" applyAlignment="1">
      <alignment/>
    </xf>
    <xf numFmtId="3" fontId="0" fillId="0" borderId="43" xfId="0" applyNumberFormat="1" applyBorder="1" applyAlignment="1">
      <alignment/>
    </xf>
    <xf numFmtId="0" fontId="0" fillId="0" borderId="0" xfId="0" applyFill="1" applyBorder="1" applyAlignment="1">
      <alignment/>
    </xf>
    <xf numFmtId="2" fontId="3" fillId="0" borderId="33" xfId="0" applyNumberFormat="1" applyFont="1" applyBorder="1" applyAlignment="1">
      <alignment/>
    </xf>
    <xf numFmtId="4" fontId="3" fillId="0" borderId="33" xfId="0" applyNumberFormat="1" applyFont="1" applyBorder="1" applyAlignment="1">
      <alignment/>
    </xf>
    <xf numFmtId="38" fontId="2" fillId="39" borderId="33" xfId="0" applyNumberFormat="1" applyFont="1" applyFill="1" applyBorder="1" applyAlignment="1">
      <alignment/>
    </xf>
    <xf numFmtId="8" fontId="2" fillId="0" borderId="43" xfId="0" applyNumberFormat="1" applyFont="1" applyBorder="1" applyAlignment="1">
      <alignment/>
    </xf>
    <xf numFmtId="0" fontId="0" fillId="0" borderId="0" xfId="0" applyAlignment="1">
      <alignment vertical="center" wrapText="1"/>
    </xf>
    <xf numFmtId="40" fontId="4" fillId="0" borderId="0" xfId="0" applyNumberFormat="1" applyFont="1" applyAlignment="1">
      <alignment/>
    </xf>
    <xf numFmtId="3" fontId="0" fillId="39" borderId="33" xfId="0" applyNumberFormat="1" applyFill="1" applyBorder="1" applyAlignment="1">
      <alignment wrapText="1"/>
    </xf>
    <xf numFmtId="0" fontId="2" fillId="0" borderId="0" xfId="0" applyFont="1" applyFill="1" applyBorder="1" applyAlignment="1">
      <alignment/>
    </xf>
    <xf numFmtId="2" fontId="0" fillId="0" borderId="33" xfId="0" applyNumberFormat="1" applyBorder="1" applyAlignment="1">
      <alignment wrapText="1"/>
    </xf>
    <xf numFmtId="4" fontId="0" fillId="39" borderId="33" xfId="0" applyNumberFormat="1" applyFill="1" applyBorder="1" applyAlignment="1">
      <alignment wrapText="1"/>
    </xf>
    <xf numFmtId="8" fontId="0" fillId="0" borderId="41" xfId="0" applyNumberFormat="1" applyBorder="1" applyAlignment="1">
      <alignment/>
    </xf>
    <xf numFmtId="0" fontId="3" fillId="0" borderId="33" xfId="0" applyFont="1" applyBorder="1" applyAlignment="1">
      <alignment wrapText="1"/>
    </xf>
    <xf numFmtId="0" fontId="2" fillId="0" borderId="33" xfId="0" applyFont="1" applyBorder="1" applyAlignment="1">
      <alignment wrapText="1"/>
    </xf>
    <xf numFmtId="3" fontId="2" fillId="0" borderId="33" xfId="0" applyNumberFormat="1" applyFont="1" applyBorder="1" applyAlignment="1">
      <alignment wrapText="1"/>
    </xf>
    <xf numFmtId="3" fontId="2" fillId="39" borderId="33" xfId="0" applyNumberFormat="1" applyFont="1" applyFill="1" applyBorder="1" applyAlignment="1">
      <alignment wrapText="1"/>
    </xf>
    <xf numFmtId="3" fontId="0" fillId="39" borderId="0" xfId="0" applyNumberFormat="1" applyFill="1" applyAlignment="1">
      <alignment wrapText="1"/>
    </xf>
    <xf numFmtId="3" fontId="2" fillId="0" borderId="40" xfId="0" applyNumberFormat="1" applyFont="1" applyBorder="1" applyAlignment="1">
      <alignment wrapText="1"/>
    </xf>
    <xf numFmtId="3" fontId="2" fillId="39" borderId="40" xfId="0" applyNumberFormat="1" applyFont="1" applyFill="1" applyBorder="1" applyAlignment="1">
      <alignment wrapText="1"/>
    </xf>
    <xf numFmtId="3" fontId="0" fillId="0" borderId="40" xfId="0" applyNumberFormat="1" applyBorder="1" applyAlignment="1">
      <alignment wrapText="1"/>
    </xf>
    <xf numFmtId="3" fontId="0" fillId="39" borderId="40" xfId="0" applyNumberFormat="1" applyFill="1" applyBorder="1" applyAlignment="1">
      <alignment wrapText="1"/>
    </xf>
    <xf numFmtId="2" fontId="3" fillId="0" borderId="33" xfId="0" applyNumberFormat="1" applyFont="1" applyBorder="1" applyAlignment="1">
      <alignment wrapText="1"/>
    </xf>
    <xf numFmtId="4" fontId="3" fillId="0" borderId="33" xfId="0" applyNumberFormat="1" applyFont="1" applyBorder="1" applyAlignment="1">
      <alignment wrapText="1"/>
    </xf>
    <xf numFmtId="4" fontId="3" fillId="39" borderId="33" xfId="0" applyNumberFormat="1" applyFont="1" applyFill="1" applyBorder="1" applyAlignment="1">
      <alignment wrapText="1"/>
    </xf>
    <xf numFmtId="38" fontId="2" fillId="0" borderId="33" xfId="0" applyNumberFormat="1" applyFont="1" applyBorder="1" applyAlignment="1">
      <alignment wrapText="1"/>
    </xf>
    <xf numFmtId="38" fontId="0" fillId="39" borderId="33" xfId="0" applyNumberFormat="1" applyFill="1" applyBorder="1" applyAlignment="1">
      <alignment/>
    </xf>
    <xf numFmtId="4" fontId="2" fillId="0" borderId="33" xfId="0" applyNumberFormat="1" applyFont="1" applyBorder="1" applyAlignment="1">
      <alignment/>
    </xf>
    <xf numFmtId="0" fontId="2" fillId="0" borderId="28" xfId="0" applyFont="1" applyBorder="1" applyAlignment="1">
      <alignment wrapText="1"/>
    </xf>
    <xf numFmtId="0" fontId="0" fillId="0" borderId="44" xfId="0" applyBorder="1" applyAlignment="1">
      <alignment/>
    </xf>
    <xf numFmtId="0" fontId="0" fillId="0" borderId="28" xfId="0" applyBorder="1" applyAlignment="1">
      <alignment wrapText="1"/>
    </xf>
    <xf numFmtId="4" fontId="0" fillId="0" borderId="0" xfId="0" applyNumberFormat="1" applyBorder="1" applyAlignment="1">
      <alignment/>
    </xf>
    <xf numFmtId="38" fontId="0" fillId="0" borderId="0" xfId="0" applyNumberFormat="1" applyBorder="1" applyAlignment="1">
      <alignment/>
    </xf>
    <xf numFmtId="38" fontId="0" fillId="39" borderId="0" xfId="0" applyNumberFormat="1" applyFill="1" applyBorder="1" applyAlignment="1">
      <alignment/>
    </xf>
    <xf numFmtId="38" fontId="0" fillId="0" borderId="33" xfId="0" applyNumberFormat="1" applyBorder="1" applyAlignment="1">
      <alignment/>
    </xf>
    <xf numFmtId="0" fontId="0" fillId="0" borderId="0" xfId="0" applyAlignment="1">
      <alignment vertical="center"/>
    </xf>
    <xf numFmtId="0" fontId="0" fillId="0" borderId="39" xfId="0" applyBorder="1" applyAlignment="1">
      <alignment/>
    </xf>
    <xf numFmtId="2" fontId="0" fillId="0" borderId="40" xfId="0" applyNumberFormat="1" applyBorder="1" applyAlignment="1">
      <alignment/>
    </xf>
    <xf numFmtId="4" fontId="0" fillId="0" borderId="40" xfId="0" applyNumberFormat="1" applyBorder="1" applyAlignment="1">
      <alignment/>
    </xf>
    <xf numFmtId="4" fontId="0" fillId="39" borderId="40" xfId="0" applyNumberFormat="1" applyFill="1" applyBorder="1" applyAlignment="1">
      <alignment/>
    </xf>
    <xf numFmtId="38" fontId="0" fillId="0" borderId="40" xfId="0" applyNumberFormat="1" applyBorder="1" applyAlignment="1">
      <alignment/>
    </xf>
    <xf numFmtId="38" fontId="0" fillId="39" borderId="40" xfId="0" applyNumberFormat="1" applyFill="1" applyBorder="1" applyAlignment="1">
      <alignment/>
    </xf>
    <xf numFmtId="38" fontId="3" fillId="0" borderId="33" xfId="0" applyNumberFormat="1" applyFont="1" applyBorder="1" applyAlignment="1">
      <alignment/>
    </xf>
    <xf numFmtId="38" fontId="3" fillId="39" borderId="33" xfId="0" applyNumberFormat="1" applyFont="1" applyFill="1" applyBorder="1" applyAlignment="1">
      <alignment/>
    </xf>
    <xf numFmtId="0" fontId="3" fillId="0" borderId="28" xfId="0" applyFont="1" applyBorder="1" applyAlignment="1">
      <alignment wrapText="1"/>
    </xf>
    <xf numFmtId="0" fontId="0" fillId="0" borderId="43" xfId="0" applyBorder="1" applyAlignment="1">
      <alignment/>
    </xf>
    <xf numFmtId="6" fontId="2" fillId="0" borderId="43" xfId="0" applyNumberFormat="1" applyFont="1" applyBorder="1" applyAlignment="1">
      <alignment/>
    </xf>
    <xf numFmtId="3" fontId="0" fillId="39" borderId="33" xfId="0" applyNumberFormat="1" applyFont="1" applyFill="1" applyBorder="1" applyAlignment="1">
      <alignment/>
    </xf>
    <xf numFmtId="0" fontId="4" fillId="0" borderId="38" xfId="0" applyFont="1" applyBorder="1" applyAlignment="1">
      <alignment wrapText="1"/>
    </xf>
    <xf numFmtId="0" fontId="6" fillId="40" borderId="33" xfId="0" applyFont="1" applyFill="1" applyBorder="1" applyAlignment="1">
      <alignment/>
    </xf>
    <xf numFmtId="0" fontId="0" fillId="40" borderId="33" xfId="0" applyFill="1" applyBorder="1" applyAlignment="1">
      <alignment/>
    </xf>
    <xf numFmtId="1" fontId="0" fillId="0" borderId="33" xfId="0" applyNumberFormat="1" applyBorder="1" applyAlignment="1">
      <alignment/>
    </xf>
    <xf numFmtId="1" fontId="0" fillId="0" borderId="0" xfId="0" applyNumberFormat="1" applyAlignment="1">
      <alignment/>
    </xf>
    <xf numFmtId="0" fontId="6" fillId="0" borderId="41" xfId="0" applyFont="1" applyBorder="1" applyAlignment="1">
      <alignment/>
    </xf>
    <xf numFmtId="38" fontId="2" fillId="0" borderId="37" xfId="0" applyNumberFormat="1" applyFont="1" applyBorder="1" applyAlignment="1">
      <alignment/>
    </xf>
    <xf numFmtId="8" fontId="0" fillId="0" borderId="45" xfId="0" applyNumberFormat="1" applyBorder="1" applyAlignment="1">
      <alignment/>
    </xf>
    <xf numFmtId="0" fontId="0" fillId="0" borderId="41" xfId="0" applyBorder="1" applyAlignment="1">
      <alignment/>
    </xf>
    <xf numFmtId="0" fontId="2" fillId="0" borderId="0" xfId="0" applyFont="1" applyFill="1" applyBorder="1" applyAlignment="1">
      <alignment wrapText="1"/>
    </xf>
    <xf numFmtId="8" fontId="0" fillId="0" borderId="0" xfId="0" applyNumberFormat="1" applyAlignment="1">
      <alignment wrapText="1"/>
    </xf>
    <xf numFmtId="0" fontId="2" fillId="0" borderId="41" xfId="0" applyFont="1" applyFill="1" applyBorder="1" applyAlignment="1">
      <alignment wrapText="1"/>
    </xf>
    <xf numFmtId="8" fontId="0" fillId="0" borderId="41" xfId="0" applyNumberFormat="1" applyBorder="1" applyAlignment="1">
      <alignment wrapText="1"/>
    </xf>
    <xf numFmtId="0" fontId="0" fillId="0" borderId="41" xfId="0" applyBorder="1" applyAlignment="1">
      <alignment wrapText="1"/>
    </xf>
    <xf numFmtId="0" fontId="0" fillId="0" borderId="0" xfId="0" applyFill="1" applyBorder="1" applyAlignment="1">
      <alignment wrapText="1"/>
    </xf>
    <xf numFmtId="38" fontId="2" fillId="0" borderId="37" xfId="0" applyNumberFormat="1" applyFont="1" applyBorder="1" applyAlignment="1">
      <alignment wrapText="1"/>
    </xf>
    <xf numFmtId="0" fontId="6" fillId="0" borderId="33" xfId="0" applyFont="1" applyBorder="1" applyAlignment="1">
      <alignment wrapText="1"/>
    </xf>
    <xf numFmtId="38" fontId="6" fillId="0" borderId="33" xfId="0" applyNumberFormat="1" applyFont="1" applyBorder="1" applyAlignment="1">
      <alignment wrapText="1"/>
    </xf>
    <xf numFmtId="38" fontId="6" fillId="39" borderId="33" xfId="0" applyNumberFormat="1" applyFont="1" applyFill="1" applyBorder="1" applyAlignment="1">
      <alignment wrapText="1"/>
    </xf>
    <xf numFmtId="4" fontId="0" fillId="0" borderId="0" xfId="0" applyNumberFormat="1" applyAlignment="1">
      <alignment wrapText="1"/>
    </xf>
    <xf numFmtId="3" fontId="0" fillId="0" borderId="0" xfId="0" applyNumberFormat="1" applyBorder="1" applyAlignment="1">
      <alignment/>
    </xf>
    <xf numFmtId="0" fontId="28" fillId="0" borderId="0" xfId="0" applyFont="1" applyFill="1" applyBorder="1" applyAlignment="1">
      <alignment vertical="center" wrapText="1"/>
    </xf>
    <xf numFmtId="38" fontId="2" fillId="0" borderId="0" xfId="0" applyNumberFormat="1" applyFont="1" applyAlignment="1">
      <alignment vertical="center"/>
    </xf>
    <xf numFmtId="0" fontId="0" fillId="0" borderId="16" xfId="0" applyFont="1" applyBorder="1" applyAlignment="1" quotePrefix="1">
      <alignment wrapText="1"/>
    </xf>
    <xf numFmtId="0" fontId="0" fillId="0" borderId="20" xfId="0" applyFont="1" applyBorder="1" applyAlignment="1">
      <alignment horizontal="center"/>
    </xf>
    <xf numFmtId="10" fontId="9" fillId="37" borderId="13" xfId="0" applyNumberFormat="1" applyFont="1" applyFill="1" applyBorder="1" applyAlignment="1">
      <alignment horizontal="right"/>
    </xf>
    <xf numFmtId="2" fontId="9" fillId="37" borderId="10" xfId="0" applyNumberFormat="1" applyFont="1" applyFill="1" applyBorder="1" applyAlignment="1">
      <alignment horizontal="right"/>
    </xf>
    <xf numFmtId="0" fontId="9" fillId="37" borderId="10" xfId="0" applyFont="1" applyFill="1" applyBorder="1" applyAlignment="1">
      <alignment horizontal="right"/>
    </xf>
    <xf numFmtId="1" fontId="9" fillId="37" borderId="10" xfId="0" applyNumberFormat="1" applyFont="1" applyFill="1" applyBorder="1" applyAlignment="1">
      <alignment horizontal="right"/>
    </xf>
    <xf numFmtId="3" fontId="9" fillId="37" borderId="10" xfId="0" applyNumberFormat="1" applyFont="1" applyFill="1" applyBorder="1" applyAlignment="1">
      <alignment/>
    </xf>
    <xf numFmtId="10" fontId="0" fillId="0" borderId="0" xfId="0" applyNumberFormat="1" applyAlignment="1">
      <alignment/>
    </xf>
    <xf numFmtId="0" fontId="0" fillId="0" borderId="46" xfId="0" applyBorder="1" applyAlignment="1">
      <alignment/>
    </xf>
    <xf numFmtId="0" fontId="0" fillId="0" borderId="47" xfId="0" applyBorder="1" applyAlignment="1">
      <alignment/>
    </xf>
    <xf numFmtId="0" fontId="0" fillId="0" borderId="47" xfId="0" applyBorder="1" applyAlignment="1">
      <alignment wrapText="1"/>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0" xfId="0" applyBorder="1" applyAlignment="1">
      <alignment wrapText="1"/>
    </xf>
    <xf numFmtId="0" fontId="0" fillId="0" borderId="51" xfId="0" applyBorder="1" applyAlignment="1">
      <alignment vertical="center" wrapText="1"/>
    </xf>
    <xf numFmtId="0" fontId="0" fillId="0" borderId="52" xfId="0" applyBorder="1" applyAlignment="1">
      <alignment/>
    </xf>
    <xf numFmtId="0" fontId="0" fillId="0" borderId="53" xfId="0" applyBorder="1" applyAlignment="1">
      <alignment/>
    </xf>
    <xf numFmtId="2" fontId="9" fillId="37" borderId="53" xfId="0" applyNumberFormat="1" applyFont="1" applyFill="1" applyBorder="1" applyAlignment="1">
      <alignment/>
    </xf>
    <xf numFmtId="0" fontId="0" fillId="0" borderId="53" xfId="0" applyBorder="1" applyAlignment="1">
      <alignment wrapText="1"/>
    </xf>
    <xf numFmtId="0" fontId="0" fillId="0" borderId="54" xfId="0" applyBorder="1" applyAlignment="1">
      <alignment/>
    </xf>
    <xf numFmtId="0" fontId="25" fillId="0" borderId="0" xfId="0" applyFont="1" applyFill="1" applyBorder="1" applyAlignment="1">
      <alignment/>
    </xf>
    <xf numFmtId="4" fontId="9" fillId="37" borderId="47" xfId="0" applyNumberFormat="1" applyFont="1" applyFill="1" applyBorder="1" applyAlignment="1">
      <alignment/>
    </xf>
    <xf numFmtId="0" fontId="0" fillId="0" borderId="55" xfId="0" applyBorder="1" applyAlignment="1">
      <alignment wrapText="1"/>
    </xf>
    <xf numFmtId="0" fontId="0" fillId="0" borderId="49" xfId="0" applyFont="1" applyBorder="1" applyAlignment="1">
      <alignment/>
    </xf>
    <xf numFmtId="4" fontId="9" fillId="37" borderId="53" xfId="0" applyNumberFormat="1" applyFont="1" applyFill="1" applyBorder="1" applyAlignment="1">
      <alignment/>
    </xf>
    <xf numFmtId="1" fontId="0" fillId="0" borderId="0" xfId="0" applyNumberFormat="1" applyFont="1" applyBorder="1" applyAlignment="1">
      <alignment horizontal="center"/>
    </xf>
    <xf numFmtId="9" fontId="0" fillId="0" borderId="0" xfId="0" applyNumberFormat="1" applyFont="1" applyBorder="1" applyAlignment="1">
      <alignment horizontal="center"/>
    </xf>
    <xf numFmtId="9" fontId="0" fillId="0" borderId="0" xfId="0" applyNumberFormat="1" applyFont="1" applyBorder="1" applyAlignment="1" quotePrefix="1">
      <alignment horizontal="center"/>
    </xf>
    <xf numFmtId="1" fontId="0" fillId="0" borderId="0" xfId="0" applyNumberFormat="1" applyFont="1" applyAlignment="1">
      <alignment horizontal="center"/>
    </xf>
    <xf numFmtId="9" fontId="0" fillId="0" borderId="0" xfId="0" applyNumberFormat="1" applyFont="1" applyAlignment="1">
      <alignment horizontal="center"/>
    </xf>
    <xf numFmtId="0" fontId="0" fillId="0" borderId="0" xfId="0" applyFont="1" applyBorder="1" applyAlignment="1">
      <alignment horizontal="center"/>
    </xf>
    <xf numFmtId="0" fontId="0" fillId="0" borderId="56" xfId="0" applyBorder="1" applyAlignment="1">
      <alignment/>
    </xf>
    <xf numFmtId="0" fontId="0" fillId="0" borderId="49" xfId="0" applyBorder="1" applyAlignment="1">
      <alignment wrapText="1"/>
    </xf>
    <xf numFmtId="0" fontId="0" fillId="0" borderId="57" xfId="0" applyFont="1" applyFill="1" applyBorder="1" applyAlignment="1">
      <alignment/>
    </xf>
    <xf numFmtId="1" fontId="9" fillId="37" borderId="58" xfId="0" applyNumberFormat="1" applyFont="1" applyFill="1" applyBorder="1" applyAlignment="1">
      <alignment horizontal="center"/>
    </xf>
    <xf numFmtId="0" fontId="0" fillId="0" borderId="59" xfId="0" applyFont="1" applyBorder="1" applyAlignment="1">
      <alignment/>
    </xf>
    <xf numFmtId="1" fontId="9" fillId="37" borderId="60" xfId="0" applyNumberFormat="1" applyFont="1" applyFill="1" applyBorder="1" applyAlignment="1">
      <alignment horizontal="center"/>
    </xf>
    <xf numFmtId="0" fontId="0" fillId="0" borderId="59" xfId="0" applyFont="1" applyFill="1" applyBorder="1" applyAlignment="1">
      <alignment/>
    </xf>
    <xf numFmtId="0" fontId="0" fillId="0" borderId="61" xfId="0" applyFont="1" applyBorder="1" applyAlignment="1">
      <alignment/>
    </xf>
    <xf numFmtId="1" fontId="9" fillId="37" borderId="62" xfId="0" applyNumberFormat="1" applyFont="1" applyFill="1" applyBorder="1" applyAlignment="1">
      <alignment horizontal="center"/>
    </xf>
    <xf numFmtId="0" fontId="2" fillId="0" borderId="52" xfId="0" applyFont="1" applyBorder="1" applyAlignment="1">
      <alignment/>
    </xf>
    <xf numFmtId="3" fontId="25" fillId="0" borderId="0" xfId="0" applyNumberFormat="1" applyFont="1" applyAlignment="1">
      <alignment wrapText="1"/>
    </xf>
    <xf numFmtId="0" fontId="0" fillId="0" borderId="12" xfId="0" applyBorder="1" applyAlignment="1">
      <alignment/>
    </xf>
    <xf numFmtId="3" fontId="0" fillId="0" borderId="63" xfId="0" applyNumberFormat="1" applyBorder="1" applyAlignment="1">
      <alignment wrapText="1"/>
    </xf>
    <xf numFmtId="3" fontId="0" fillId="0" borderId="64" xfId="0" applyNumberFormat="1" applyBorder="1" applyAlignment="1">
      <alignment wrapText="1"/>
    </xf>
    <xf numFmtId="3" fontId="0" fillId="0" borderId="65" xfId="0" applyNumberFormat="1" applyBorder="1" applyAlignment="1">
      <alignment wrapText="1"/>
    </xf>
    <xf numFmtId="9" fontId="0" fillId="0" borderId="0" xfId="0" applyNumberFormat="1" applyFill="1" applyBorder="1" applyAlignment="1">
      <alignment wrapText="1"/>
    </xf>
    <xf numFmtId="0" fontId="2" fillId="36" borderId="11" xfId="0" applyFont="1" applyFill="1" applyBorder="1" applyAlignment="1">
      <alignment horizontal="center" vertical="center" wrapText="1"/>
    </xf>
    <xf numFmtId="0" fontId="2" fillId="0" borderId="11" xfId="0" applyFont="1" applyFill="1" applyBorder="1" applyAlignment="1">
      <alignment horizontal="center"/>
    </xf>
    <xf numFmtId="0" fontId="9" fillId="37" borderId="13" xfId="0" applyFont="1" applyFill="1" applyBorder="1" applyAlignment="1">
      <alignment/>
    </xf>
    <xf numFmtId="10" fontId="9" fillId="37" borderId="10" xfId="0" applyNumberFormat="1" applyFont="1" applyFill="1" applyBorder="1" applyAlignment="1">
      <alignment/>
    </xf>
    <xf numFmtId="170" fontId="9" fillId="37" borderId="10" xfId="0" applyNumberFormat="1" applyFont="1" applyFill="1" applyBorder="1" applyAlignment="1">
      <alignment/>
    </xf>
    <xf numFmtId="10" fontId="9" fillId="37" borderId="26" xfId="0" applyNumberFormat="1" applyFont="1" applyFill="1" applyBorder="1" applyAlignment="1">
      <alignment/>
    </xf>
    <xf numFmtId="0" fontId="9" fillId="37" borderId="26" xfId="0" applyFont="1" applyFill="1" applyBorder="1" applyAlignment="1">
      <alignment/>
    </xf>
    <xf numFmtId="0" fontId="9" fillId="37" borderId="20" xfId="0" applyFont="1" applyFill="1" applyBorder="1" applyAlignment="1">
      <alignment horizontal="right"/>
    </xf>
    <xf numFmtId="0" fontId="26" fillId="0" borderId="0" xfId="0" applyFont="1" applyAlignment="1">
      <alignment/>
    </xf>
    <xf numFmtId="0" fontId="0" fillId="0" borderId="59" xfId="0" applyFill="1" applyBorder="1" applyAlignment="1">
      <alignment/>
    </xf>
    <xf numFmtId="0" fontId="6" fillId="0" borderId="0" xfId="0" applyFont="1" applyAlignment="1">
      <alignment vertical="center"/>
    </xf>
    <xf numFmtId="0" fontId="3" fillId="41" borderId="0" xfId="0" applyFont="1" applyFill="1" applyAlignment="1">
      <alignment/>
    </xf>
    <xf numFmtId="4" fontId="3" fillId="41" borderId="0" xfId="0" applyNumberFormat="1" applyFont="1" applyFill="1" applyAlignment="1">
      <alignment/>
    </xf>
    <xf numFmtId="2" fontId="3" fillId="41" borderId="0" xfId="0" applyNumberFormat="1" applyFont="1" applyFill="1" applyAlignment="1">
      <alignment/>
    </xf>
    <xf numFmtId="0" fontId="6" fillId="41" borderId="66" xfId="0" applyFont="1" applyFill="1" applyBorder="1" applyAlignment="1">
      <alignment horizontal="center" vertical="center"/>
    </xf>
    <xf numFmtId="4" fontId="6" fillId="41" borderId="67" xfId="0" applyNumberFormat="1" applyFont="1" applyFill="1" applyBorder="1" applyAlignment="1">
      <alignment horizontal="right" vertical="center"/>
    </xf>
    <xf numFmtId="0" fontId="2" fillId="41" borderId="66" xfId="0" applyFont="1" applyFill="1" applyBorder="1" applyAlignment="1">
      <alignment/>
    </xf>
    <xf numFmtId="3" fontId="2" fillId="41" borderId="68" xfId="0" applyNumberFormat="1" applyFont="1" applyFill="1" applyBorder="1" applyAlignment="1">
      <alignment/>
    </xf>
    <xf numFmtId="3" fontId="2" fillId="41" borderId="67" xfId="0" applyNumberFormat="1" applyFont="1" applyFill="1" applyBorder="1" applyAlignment="1">
      <alignment/>
    </xf>
    <xf numFmtId="10" fontId="0" fillId="41" borderId="11" xfId="0" applyNumberFormat="1" applyFill="1" applyBorder="1" applyAlignment="1">
      <alignment/>
    </xf>
    <xf numFmtId="10" fontId="2" fillId="41" borderId="23" xfId="0" applyNumberFormat="1" applyFont="1" applyFill="1" applyBorder="1" applyAlignment="1">
      <alignment/>
    </xf>
    <xf numFmtId="0" fontId="41" fillId="0" borderId="0" xfId="0" applyFont="1" applyFill="1" applyBorder="1" applyAlignment="1">
      <alignment vertical="center" wrapText="1"/>
    </xf>
    <xf numFmtId="38" fontId="6" fillId="0" borderId="0" xfId="0" applyNumberFormat="1" applyFont="1" applyAlignment="1">
      <alignment vertical="center"/>
    </xf>
    <xf numFmtId="0" fontId="29" fillId="0" borderId="0" xfId="0" applyFont="1" applyAlignment="1">
      <alignment/>
    </xf>
    <xf numFmtId="0" fontId="6" fillId="42" borderId="69" xfId="0" applyFont="1" applyFill="1" applyBorder="1" applyAlignment="1">
      <alignment horizontal="center" vertical="center"/>
    </xf>
    <xf numFmtId="0" fontId="2" fillId="42" borderId="11" xfId="0" applyFont="1" applyFill="1" applyBorder="1" applyAlignment="1">
      <alignment horizontal="center" vertical="center"/>
    </xf>
    <xf numFmtId="0" fontId="2" fillId="42" borderId="11" xfId="0" applyFont="1" applyFill="1" applyBorder="1" applyAlignment="1">
      <alignment horizontal="center" vertical="center" wrapText="1"/>
    </xf>
    <xf numFmtId="0" fontId="3" fillId="42" borderId="11" xfId="0" applyFont="1" applyFill="1" applyBorder="1" applyAlignment="1">
      <alignment horizontal="center" vertical="center"/>
    </xf>
    <xf numFmtId="0" fontId="0" fillId="0" borderId="57" xfId="0" applyBorder="1" applyAlignment="1">
      <alignment/>
    </xf>
    <xf numFmtId="3" fontId="0" fillId="0" borderId="70" xfId="0" applyNumberFormat="1" applyBorder="1" applyAlignment="1">
      <alignment/>
    </xf>
    <xf numFmtId="10" fontId="0" fillId="0" borderId="58" xfId="0" applyNumberFormat="1" applyBorder="1" applyAlignment="1">
      <alignment/>
    </xf>
    <xf numFmtId="0" fontId="0" fillId="0" borderId="59" xfId="0" applyBorder="1" applyAlignment="1">
      <alignment/>
    </xf>
    <xf numFmtId="10" fontId="0" fillId="0" borderId="60" xfId="0" applyNumberFormat="1" applyBorder="1" applyAlignment="1">
      <alignment/>
    </xf>
    <xf numFmtId="0" fontId="0" fillId="0" borderId="59" xfId="0" applyBorder="1" applyAlignment="1">
      <alignment wrapText="1"/>
    </xf>
    <xf numFmtId="0" fontId="0" fillId="0" borderId="61" xfId="0" applyBorder="1" applyAlignment="1">
      <alignment/>
    </xf>
    <xf numFmtId="3" fontId="0" fillId="0" borderId="71" xfId="0" applyNumberFormat="1" applyBorder="1" applyAlignment="1">
      <alignment/>
    </xf>
    <xf numFmtId="10" fontId="0" fillId="0" borderId="62" xfId="0" applyNumberFormat="1" applyBorder="1" applyAlignment="1">
      <alignment/>
    </xf>
    <xf numFmtId="0" fontId="0" fillId="0" borderId="57" xfId="0" applyFont="1" applyBorder="1" applyAlignment="1">
      <alignment/>
    </xf>
    <xf numFmtId="3" fontId="0" fillId="0" borderId="70" xfId="0" applyNumberFormat="1" applyFont="1" applyBorder="1" applyAlignment="1">
      <alignment/>
    </xf>
    <xf numFmtId="0" fontId="0" fillId="0" borderId="61" xfId="0" applyBorder="1" applyAlignment="1">
      <alignment wrapText="1"/>
    </xf>
    <xf numFmtId="0" fontId="0" fillId="0" borderId="61" xfId="0" applyFill="1" applyBorder="1" applyAlignment="1">
      <alignment/>
    </xf>
    <xf numFmtId="3" fontId="9" fillId="37" borderId="33" xfId="0" applyNumberFormat="1" applyFont="1" applyFill="1" applyBorder="1" applyAlignment="1">
      <alignment/>
    </xf>
    <xf numFmtId="0" fontId="9" fillId="37" borderId="33" xfId="0" applyFont="1" applyFill="1" applyBorder="1" applyAlignment="1">
      <alignment/>
    </xf>
    <xf numFmtId="3" fontId="9" fillId="37" borderId="71" xfId="0" applyNumberFormat="1" applyFont="1" applyFill="1" applyBorder="1" applyAlignment="1">
      <alignment/>
    </xf>
    <xf numFmtId="0" fontId="26" fillId="42" borderId="69" xfId="0" applyFont="1" applyFill="1" applyBorder="1" applyAlignment="1">
      <alignment vertical="center"/>
    </xf>
    <xf numFmtId="0" fontId="0" fillId="42" borderId="72" xfId="0" applyFill="1" applyBorder="1" applyAlignment="1">
      <alignment/>
    </xf>
    <xf numFmtId="0" fontId="0" fillId="42" borderId="23" xfId="0" applyFill="1" applyBorder="1" applyAlignment="1">
      <alignment/>
    </xf>
    <xf numFmtId="0" fontId="42" fillId="0" borderId="0" xfId="0" applyFont="1" applyAlignment="1">
      <alignment vertical="center"/>
    </xf>
    <xf numFmtId="4" fontId="42" fillId="0" borderId="0" xfId="0" applyNumberFormat="1" applyFont="1" applyAlignment="1">
      <alignment horizontal="left" vertical="center"/>
    </xf>
    <xf numFmtId="0" fontId="42" fillId="0" borderId="0" xfId="0" applyFont="1" applyAlignment="1" quotePrefix="1">
      <alignment vertical="center"/>
    </xf>
    <xf numFmtId="0" fontId="0" fillId="42" borderId="0" xfId="0" applyFill="1" applyAlignment="1">
      <alignment/>
    </xf>
    <xf numFmtId="0" fontId="39" fillId="0" borderId="0" xfId="0" applyFont="1" applyAlignment="1">
      <alignment/>
    </xf>
    <xf numFmtId="38" fontId="2" fillId="36" borderId="11" xfId="0" applyNumberFormat="1" applyFont="1" applyFill="1" applyBorder="1" applyAlignment="1">
      <alignment horizontal="center" vertical="center" wrapText="1"/>
    </xf>
    <xf numFmtId="6" fontId="0" fillId="0" borderId="10" xfId="0" applyNumberFormat="1" applyBorder="1" applyAlignment="1">
      <alignment/>
    </xf>
    <xf numFmtId="6" fontId="0" fillId="0" borderId="50" xfId="0" applyNumberFormat="1" applyBorder="1" applyAlignment="1">
      <alignment/>
    </xf>
    <xf numFmtId="6" fontId="2" fillId="0" borderId="53" xfId="0" applyNumberFormat="1" applyFont="1" applyBorder="1" applyAlignment="1">
      <alignment/>
    </xf>
    <xf numFmtId="6" fontId="2" fillId="0" borderId="54" xfId="0" applyNumberFormat="1" applyFont="1" applyBorder="1" applyAlignment="1">
      <alignment/>
    </xf>
    <xf numFmtId="0" fontId="0" fillId="0" borderId="73" xfId="0" applyFill="1" applyBorder="1" applyAlignment="1">
      <alignment/>
    </xf>
    <xf numFmtId="6" fontId="0" fillId="0" borderId="20" xfId="0" applyNumberFormat="1" applyBorder="1" applyAlignment="1">
      <alignment/>
    </xf>
    <xf numFmtId="6" fontId="0" fillId="0" borderId="55" xfId="0" applyNumberFormat="1" applyBorder="1" applyAlignment="1">
      <alignment/>
    </xf>
    <xf numFmtId="0" fontId="10" fillId="36" borderId="11" xfId="0" applyFont="1" applyFill="1" applyBorder="1" applyAlignment="1">
      <alignment horizontal="left" vertical="center" wrapText="1"/>
    </xf>
    <xf numFmtId="9" fontId="2" fillId="0" borderId="0" xfId="0" applyNumberFormat="1" applyFont="1" applyAlignment="1">
      <alignment/>
    </xf>
    <xf numFmtId="0" fontId="30" fillId="0" borderId="33" xfId="0" applyFont="1" applyFill="1" applyBorder="1" applyAlignment="1">
      <alignment wrapText="1"/>
    </xf>
    <xf numFmtId="4" fontId="44" fillId="37" borderId="33" xfId="0" applyNumberFormat="1" applyFont="1" applyFill="1" applyBorder="1" applyAlignment="1">
      <alignment/>
    </xf>
    <xf numFmtId="38" fontId="0" fillId="0" borderId="0" xfId="0" applyNumberFormat="1" applyAlignment="1">
      <alignment/>
    </xf>
    <xf numFmtId="0" fontId="10" fillId="0" borderId="0" xfId="0" applyFont="1" applyAlignment="1">
      <alignment vertical="center"/>
    </xf>
    <xf numFmtId="0" fontId="0" fillId="0" borderId="74" xfId="0" applyBorder="1" applyAlignment="1">
      <alignment/>
    </xf>
    <xf numFmtId="0" fontId="0" fillId="0" borderId="75" xfId="0" applyBorder="1" applyAlignment="1">
      <alignment/>
    </xf>
    <xf numFmtId="3" fontId="0" fillId="0" borderId="76" xfId="0" applyNumberFormat="1" applyBorder="1" applyAlignment="1">
      <alignment/>
    </xf>
    <xf numFmtId="3" fontId="0" fillId="0" borderId="10" xfId="0" applyNumberFormat="1" applyBorder="1" applyAlignment="1">
      <alignment/>
    </xf>
    <xf numFmtId="38" fontId="0" fillId="0" borderId="76" xfId="0" applyNumberFormat="1" applyBorder="1" applyAlignment="1">
      <alignment/>
    </xf>
    <xf numFmtId="38" fontId="0" fillId="0" borderId="10" xfId="0" applyNumberFormat="1" applyBorder="1" applyAlignment="1">
      <alignment/>
    </xf>
    <xf numFmtId="0" fontId="10" fillId="0" borderId="34" xfId="0" applyFont="1" applyBorder="1" applyAlignment="1">
      <alignment horizontal="center" vertical="center" wrapText="1"/>
    </xf>
    <xf numFmtId="0" fontId="10" fillId="0" borderId="77" xfId="0" applyFont="1" applyBorder="1" applyAlignment="1">
      <alignment horizontal="center" vertical="center" wrapText="1"/>
    </xf>
    <xf numFmtId="3" fontId="0" fillId="0" borderId="78" xfId="0" applyNumberFormat="1" applyBorder="1" applyAlignment="1">
      <alignment wrapText="1"/>
    </xf>
    <xf numFmtId="3" fontId="0" fillId="0" borderId="79" xfId="0" applyNumberFormat="1" applyBorder="1" applyAlignment="1">
      <alignment wrapText="1"/>
    </xf>
    <xf numFmtId="0" fontId="1" fillId="42" borderId="33" xfId="0" applyFont="1" applyFill="1" applyBorder="1" applyAlignment="1">
      <alignment vertical="center"/>
    </xf>
    <xf numFmtId="0" fontId="1" fillId="42" borderId="33" xfId="0" applyFont="1" applyFill="1" applyBorder="1" applyAlignment="1">
      <alignment horizontal="right" vertical="center"/>
    </xf>
    <xf numFmtId="3" fontId="0" fillId="40" borderId="33" xfId="0" applyNumberFormat="1" applyFill="1" applyBorder="1" applyAlignment="1">
      <alignment/>
    </xf>
    <xf numFmtId="0" fontId="27" fillId="43" borderId="11" xfId="0" applyFont="1" applyFill="1" applyBorder="1" applyAlignment="1">
      <alignment horizontal="left" vertical="center" wrapText="1"/>
    </xf>
    <xf numFmtId="0" fontId="2" fillId="43" borderId="11" xfId="0" applyFont="1" applyFill="1" applyBorder="1" applyAlignment="1">
      <alignment horizontal="center" vertical="center" wrapText="1"/>
    </xf>
    <xf numFmtId="3" fontId="2" fillId="43" borderId="11" xfId="0" applyNumberFormat="1" applyFont="1" applyFill="1" applyBorder="1" applyAlignment="1">
      <alignment horizontal="center" vertical="center" wrapText="1"/>
    </xf>
    <xf numFmtId="0" fontId="2" fillId="40" borderId="33" xfId="0" applyFont="1" applyFill="1" applyBorder="1" applyAlignment="1">
      <alignment wrapText="1"/>
    </xf>
    <xf numFmtId="0" fontId="0" fillId="40" borderId="33" xfId="0" applyFill="1" applyBorder="1" applyAlignment="1">
      <alignment wrapText="1"/>
    </xf>
    <xf numFmtId="3" fontId="0" fillId="40" borderId="33" xfId="0" applyNumberFormat="1" applyFill="1" applyBorder="1" applyAlignment="1">
      <alignment wrapText="1"/>
    </xf>
    <xf numFmtId="0" fontId="2" fillId="40" borderId="37" xfId="0" applyFont="1" applyFill="1" applyBorder="1" applyAlignment="1">
      <alignment wrapText="1"/>
    </xf>
    <xf numFmtId="0" fontId="2" fillId="40" borderId="37" xfId="0" applyFont="1" applyFill="1" applyBorder="1" applyAlignment="1">
      <alignment horizontal="center" wrapText="1"/>
    </xf>
    <xf numFmtId="3" fontId="2" fillId="40" borderId="37" xfId="0" applyNumberFormat="1" applyFont="1" applyFill="1" applyBorder="1" applyAlignment="1">
      <alignment horizontal="center" wrapText="1"/>
    </xf>
    <xf numFmtId="0" fontId="0" fillId="0" borderId="15" xfId="0" applyBorder="1" applyAlignment="1">
      <alignment/>
    </xf>
    <xf numFmtId="0" fontId="0" fillId="0" borderId="76" xfId="0" applyBorder="1" applyAlignment="1">
      <alignment/>
    </xf>
    <xf numFmtId="2" fontId="0" fillId="0" borderId="33" xfId="0" applyNumberFormat="1" applyFont="1" applyBorder="1" applyAlignment="1">
      <alignment wrapText="1"/>
    </xf>
    <xf numFmtId="3" fontId="0" fillId="0" borderId="33" xfId="0" applyNumberFormat="1" applyFont="1" applyBorder="1" applyAlignment="1">
      <alignment wrapText="1"/>
    </xf>
    <xf numFmtId="0" fontId="38" fillId="42" borderId="0" xfId="0" applyFont="1" applyFill="1" applyAlignment="1">
      <alignment vertical="center"/>
    </xf>
    <xf numFmtId="0" fontId="27" fillId="43" borderId="11" xfId="0" applyFont="1" applyFill="1" applyBorder="1" applyAlignment="1">
      <alignment wrapText="1"/>
    </xf>
    <xf numFmtId="0" fontId="2" fillId="43" borderId="11" xfId="0" applyFont="1" applyFill="1" applyBorder="1" applyAlignment="1">
      <alignment horizontal="center" vertical="center"/>
    </xf>
    <xf numFmtId="4" fontId="2" fillId="43" borderId="11" xfId="0" applyNumberFormat="1" applyFont="1" applyFill="1" applyBorder="1" applyAlignment="1">
      <alignment horizontal="center" vertical="center" wrapText="1"/>
    </xf>
    <xf numFmtId="0" fontId="23" fillId="43" borderId="11" xfId="0" applyFont="1" applyFill="1" applyBorder="1" applyAlignment="1">
      <alignment wrapText="1"/>
    </xf>
    <xf numFmtId="0" fontId="2" fillId="40" borderId="37" xfId="0" applyFont="1" applyFill="1" applyBorder="1" applyAlignment="1">
      <alignment/>
    </xf>
    <xf numFmtId="0" fontId="2" fillId="40" borderId="37" xfId="0" applyFont="1" applyFill="1" applyBorder="1" applyAlignment="1">
      <alignment horizontal="center"/>
    </xf>
    <xf numFmtId="4" fontId="2" fillId="40" borderId="37" xfId="0" applyNumberFormat="1" applyFont="1" applyFill="1" applyBorder="1" applyAlignment="1">
      <alignment horizontal="center" wrapText="1"/>
    </xf>
    <xf numFmtId="0" fontId="0" fillId="40" borderId="45" xfId="0" applyFill="1" applyBorder="1" applyAlignment="1">
      <alignment wrapText="1"/>
    </xf>
    <xf numFmtId="0" fontId="2" fillId="40" borderId="33" xfId="0" applyFont="1" applyFill="1" applyBorder="1" applyAlignment="1">
      <alignment/>
    </xf>
    <xf numFmtId="0" fontId="2" fillId="40" borderId="11" xfId="0" applyFont="1" applyFill="1" applyBorder="1" applyAlignment="1">
      <alignment horizontal="center" vertical="center"/>
    </xf>
    <xf numFmtId="0" fontId="2" fillId="40" borderId="11" xfId="0" applyFont="1" applyFill="1" applyBorder="1" applyAlignment="1">
      <alignment horizontal="center" vertical="center" wrapText="1"/>
    </xf>
    <xf numFmtId="3" fontId="2" fillId="40" borderId="11" xfId="0" applyNumberFormat="1" applyFont="1" applyFill="1" applyBorder="1" applyAlignment="1">
      <alignment horizontal="center" vertical="center" wrapText="1"/>
    </xf>
    <xf numFmtId="4" fontId="2" fillId="40" borderId="11" xfId="0" applyNumberFormat="1" applyFont="1" applyFill="1" applyBorder="1" applyAlignment="1">
      <alignment horizontal="center" vertical="center" wrapText="1"/>
    </xf>
    <xf numFmtId="0" fontId="0" fillId="40" borderId="28" xfId="0" applyFill="1" applyBorder="1" applyAlignment="1">
      <alignment wrapText="1"/>
    </xf>
    <xf numFmtId="0" fontId="0" fillId="0" borderId="45" xfId="0" applyBorder="1" applyAlignment="1">
      <alignment vertical="center" wrapText="1"/>
    </xf>
    <xf numFmtId="0" fontId="0" fillId="40" borderId="37" xfId="0" applyFill="1" applyBorder="1" applyAlignment="1">
      <alignment wrapText="1"/>
    </xf>
    <xf numFmtId="4" fontId="0" fillId="40" borderId="33" xfId="0" applyNumberFormat="1" applyFill="1" applyBorder="1" applyAlignment="1">
      <alignment/>
    </xf>
    <xf numFmtId="38" fontId="0" fillId="40" borderId="33" xfId="0" applyNumberFormat="1" applyFill="1" applyBorder="1" applyAlignment="1">
      <alignment/>
    </xf>
    <xf numFmtId="4" fontId="9" fillId="37" borderId="33" xfId="0" applyNumberFormat="1" applyFont="1" applyFill="1" applyBorder="1" applyAlignment="1">
      <alignment/>
    </xf>
    <xf numFmtId="4" fontId="0" fillId="0" borderId="33" xfId="0" applyNumberFormat="1" applyFill="1" applyBorder="1" applyAlignment="1">
      <alignment/>
    </xf>
    <xf numFmtId="0" fontId="9" fillId="37" borderId="33" xfId="0" applyFont="1" applyFill="1" applyBorder="1" applyAlignment="1">
      <alignment/>
    </xf>
    <xf numFmtId="1" fontId="0" fillId="0" borderId="33" xfId="0" applyNumberFormat="1" applyBorder="1" applyAlignment="1">
      <alignment wrapText="1"/>
    </xf>
    <xf numFmtId="0" fontId="6" fillId="0" borderId="0" xfId="0" applyFont="1" applyAlignment="1">
      <alignment/>
    </xf>
    <xf numFmtId="0" fontId="9" fillId="37" borderId="0" xfId="0" applyFont="1" applyFill="1" applyAlignment="1">
      <alignment/>
    </xf>
    <xf numFmtId="0" fontId="0" fillId="44" borderId="0" xfId="0" applyFill="1" applyAlignment="1">
      <alignment/>
    </xf>
    <xf numFmtId="0" fontId="0" fillId="40" borderId="0" xfId="0" applyFill="1" applyAlignment="1">
      <alignment/>
    </xf>
    <xf numFmtId="0" fontId="0" fillId="45" borderId="0" xfId="0" applyFill="1" applyAlignment="1">
      <alignment/>
    </xf>
    <xf numFmtId="0" fontId="0" fillId="46" borderId="0" xfId="0" applyFill="1" applyAlignment="1">
      <alignment/>
    </xf>
    <xf numFmtId="0" fontId="0" fillId="47" borderId="0" xfId="0" applyFill="1" applyAlignment="1">
      <alignment/>
    </xf>
    <xf numFmtId="0" fontId="0" fillId="48" borderId="0" xfId="0" applyFill="1" applyAlignment="1">
      <alignment/>
    </xf>
    <xf numFmtId="0" fontId="0" fillId="0" borderId="0" xfId="0" applyFill="1" applyAlignment="1">
      <alignment/>
    </xf>
    <xf numFmtId="3" fontId="0" fillId="44" borderId="0" xfId="0" applyNumberFormat="1" applyFill="1" applyAlignment="1">
      <alignment/>
    </xf>
    <xf numFmtId="3" fontId="0" fillId="37" borderId="0" xfId="0" applyNumberFormat="1" applyFill="1" applyAlignment="1">
      <alignment/>
    </xf>
    <xf numFmtId="3" fontId="0" fillId="44" borderId="80" xfId="0" applyNumberFormat="1" applyFill="1" applyBorder="1" applyAlignment="1">
      <alignment/>
    </xf>
    <xf numFmtId="3" fontId="6" fillId="0" borderId="0" xfId="0" applyNumberFormat="1" applyFont="1" applyAlignment="1">
      <alignment/>
    </xf>
    <xf numFmtId="3" fontId="6" fillId="44" borderId="0" xfId="0" applyNumberFormat="1" applyFont="1" applyFill="1" applyAlignment="1">
      <alignment/>
    </xf>
    <xf numFmtId="3" fontId="6" fillId="37" borderId="0" xfId="0" applyNumberFormat="1" applyFont="1" applyFill="1" applyAlignment="1">
      <alignment/>
    </xf>
    <xf numFmtId="0" fontId="1" fillId="0" borderId="0" xfId="0" applyFont="1" applyAlignment="1">
      <alignment/>
    </xf>
    <xf numFmtId="3" fontId="9" fillId="37" borderId="33" xfId="0" applyNumberFormat="1" applyFont="1" applyFill="1" applyBorder="1" applyAlignment="1">
      <alignment/>
    </xf>
    <xf numFmtId="2" fontId="9" fillId="37" borderId="0" xfId="0" applyNumberFormat="1" applyFont="1" applyFill="1" applyAlignment="1">
      <alignment/>
    </xf>
    <xf numFmtId="0" fontId="9" fillId="0" borderId="0" xfId="0" applyFont="1" applyFill="1" applyAlignment="1">
      <alignment/>
    </xf>
    <xf numFmtId="38" fontId="0" fillId="0" borderId="33" xfId="0" applyNumberFormat="1" applyBorder="1" applyAlignment="1" quotePrefix="1">
      <alignment horizontal="center" vertical="center"/>
    </xf>
    <xf numFmtId="3" fontId="0" fillId="0" borderId="33" xfId="0" applyNumberFormat="1" applyFill="1" applyBorder="1" applyAlignment="1">
      <alignment/>
    </xf>
    <xf numFmtId="3" fontId="0" fillId="0" borderId="33" xfId="0" applyNumberFormat="1" applyBorder="1" applyAlignment="1" quotePrefix="1">
      <alignment horizontal="center" vertical="center"/>
    </xf>
    <xf numFmtId="0" fontId="2" fillId="42" borderId="33" xfId="0" applyFont="1" applyFill="1" applyBorder="1" applyAlignment="1">
      <alignment/>
    </xf>
    <xf numFmtId="4" fontId="2" fillId="42" borderId="33" xfId="0" applyNumberFormat="1" applyFont="1" applyFill="1" applyBorder="1" applyAlignment="1">
      <alignment/>
    </xf>
    <xf numFmtId="38" fontId="2" fillId="42" borderId="33" xfId="0" applyNumberFormat="1" applyFont="1" applyFill="1" applyBorder="1" applyAlignment="1">
      <alignment/>
    </xf>
    <xf numFmtId="0" fontId="2" fillId="42" borderId="28" xfId="0" applyFont="1" applyFill="1" applyBorder="1" applyAlignment="1">
      <alignment wrapText="1"/>
    </xf>
    <xf numFmtId="0" fontId="29" fillId="0" borderId="0" xfId="0" applyFont="1" applyAlignment="1" applyProtection="1">
      <alignment horizontal="right" wrapText="1"/>
      <protection/>
    </xf>
    <xf numFmtId="3" fontId="29" fillId="0" borderId="0" xfId="0" applyNumberFormat="1" applyFont="1" applyAlignment="1" applyProtection="1">
      <alignment wrapText="1"/>
      <protection/>
    </xf>
    <xf numFmtId="0" fontId="0" fillId="42" borderId="0" xfId="0" applyFill="1" applyBorder="1" applyAlignment="1">
      <alignment/>
    </xf>
    <xf numFmtId="0" fontId="46" fillId="42" borderId="0" xfId="0" applyFont="1" applyFill="1" applyBorder="1" applyAlignment="1">
      <alignment horizontal="center"/>
    </xf>
    <xf numFmtId="0" fontId="43" fillId="42" borderId="0" xfId="0" applyFont="1" applyFill="1" applyBorder="1" applyAlignment="1">
      <alignment horizontal="center"/>
    </xf>
    <xf numFmtId="0" fontId="1" fillId="42" borderId="0" xfId="0" applyFont="1" applyFill="1" applyBorder="1" applyAlignment="1">
      <alignment horizontal="center"/>
    </xf>
    <xf numFmtId="0" fontId="1" fillId="0" borderId="0" xfId="0" applyFont="1" applyBorder="1" applyAlignment="1">
      <alignment horizontal="center"/>
    </xf>
    <xf numFmtId="0" fontId="35" fillId="0" borderId="0" xfId="0" applyFont="1" applyBorder="1" applyAlignment="1">
      <alignment horizontal="center"/>
    </xf>
    <xf numFmtId="0" fontId="50" fillId="0" borderId="0" xfId="0" applyFont="1" applyBorder="1" applyAlignment="1">
      <alignment horizontal="center"/>
    </xf>
    <xf numFmtId="0" fontId="0" fillId="0" borderId="0" xfId="0" applyFont="1" applyFill="1" applyAlignment="1">
      <alignment/>
    </xf>
    <xf numFmtId="0" fontId="0" fillId="37" borderId="0" xfId="0" applyFill="1" applyAlignment="1">
      <alignment/>
    </xf>
    <xf numFmtId="3" fontId="6" fillId="45" borderId="0" xfId="0" applyNumberFormat="1" applyFont="1" applyFill="1" applyAlignment="1">
      <alignment/>
    </xf>
    <xf numFmtId="3" fontId="0" fillId="45" borderId="0" xfId="0" applyNumberFormat="1" applyFill="1" applyAlignment="1">
      <alignment/>
    </xf>
    <xf numFmtId="0" fontId="0" fillId="0" borderId="15" xfId="0" applyFont="1" applyBorder="1" applyAlignment="1">
      <alignment wrapText="1"/>
    </xf>
    <xf numFmtId="3" fontId="6" fillId="43" borderId="0" xfId="0" applyNumberFormat="1" applyFont="1" applyFill="1" applyAlignment="1">
      <alignment/>
    </xf>
    <xf numFmtId="3" fontId="6" fillId="49" borderId="0" xfId="0" applyNumberFormat="1" applyFont="1" applyFill="1" applyAlignment="1">
      <alignment/>
    </xf>
    <xf numFmtId="4" fontId="9" fillId="37" borderId="33" xfId="0" applyNumberFormat="1" applyFont="1" applyFill="1" applyBorder="1" applyAlignment="1">
      <alignment/>
    </xf>
    <xf numFmtId="2" fontId="9" fillId="37" borderId="33" xfId="0" applyNumberFormat="1" applyFont="1" applyFill="1" applyBorder="1" applyAlignment="1">
      <alignment wrapText="1"/>
    </xf>
    <xf numFmtId="0" fontId="2" fillId="42" borderId="33" xfId="0" applyFont="1" applyFill="1" applyBorder="1" applyAlignment="1">
      <alignment wrapText="1"/>
    </xf>
    <xf numFmtId="38" fontId="2" fillId="42" borderId="33" xfId="0" applyNumberFormat="1" applyFont="1" applyFill="1" applyBorder="1" applyAlignment="1">
      <alignment wrapText="1"/>
    </xf>
    <xf numFmtId="0" fontId="6" fillId="45" borderId="15" xfId="0" applyFont="1" applyFill="1" applyBorder="1" applyAlignment="1">
      <alignment/>
    </xf>
    <xf numFmtId="0" fontId="0" fillId="45" borderId="10" xfId="0" applyFont="1" applyFill="1" applyBorder="1" applyAlignment="1">
      <alignment horizontal="center"/>
    </xf>
    <xf numFmtId="0" fontId="40" fillId="45" borderId="10" xfId="0" applyFont="1" applyFill="1" applyBorder="1" applyAlignment="1">
      <alignment horizontal="right"/>
    </xf>
    <xf numFmtId="0" fontId="0" fillId="45" borderId="16" xfId="0" applyFont="1" applyFill="1" applyBorder="1" applyAlignment="1">
      <alignment wrapText="1"/>
    </xf>
    <xf numFmtId="0" fontId="6" fillId="45" borderId="15" xfId="0" applyFont="1" applyFill="1" applyBorder="1" applyAlignment="1">
      <alignment wrapText="1"/>
    </xf>
    <xf numFmtId="4" fontId="2" fillId="40" borderId="81" xfId="0" applyNumberFormat="1" applyFont="1" applyFill="1" applyBorder="1" applyAlignment="1">
      <alignment horizontal="center" wrapText="1"/>
    </xf>
    <xf numFmtId="3" fontId="0" fillId="39" borderId="39" xfId="0" applyNumberFormat="1" applyFill="1" applyBorder="1" applyAlignment="1">
      <alignment/>
    </xf>
    <xf numFmtId="3" fontId="2" fillId="39" borderId="39" xfId="0" applyNumberFormat="1" applyFont="1" applyFill="1" applyBorder="1" applyAlignment="1">
      <alignment/>
    </xf>
    <xf numFmtId="3" fontId="0" fillId="40" borderId="39" xfId="0" applyNumberFormat="1" applyFill="1" applyBorder="1" applyAlignment="1">
      <alignment/>
    </xf>
    <xf numFmtId="4" fontId="0" fillId="39" borderId="39" xfId="0" applyNumberFormat="1" applyFill="1" applyBorder="1" applyAlignment="1">
      <alignment/>
    </xf>
    <xf numFmtId="4" fontId="3" fillId="39" borderId="39" xfId="0" applyNumberFormat="1" applyFont="1" applyFill="1" applyBorder="1" applyAlignment="1">
      <alignment/>
    </xf>
    <xf numFmtId="38" fontId="2" fillId="39" borderId="39" xfId="0" applyNumberFormat="1" applyFont="1" applyFill="1" applyBorder="1" applyAlignment="1">
      <alignment/>
    </xf>
    <xf numFmtId="0" fontId="0" fillId="40" borderId="70" xfId="0" applyFill="1" applyBorder="1" applyAlignment="1">
      <alignment wrapText="1"/>
    </xf>
    <xf numFmtId="4" fontId="0" fillId="39" borderId="39" xfId="0" applyNumberFormat="1" applyFill="1" applyBorder="1" applyAlignment="1">
      <alignment wrapText="1"/>
    </xf>
    <xf numFmtId="0" fontId="0" fillId="0" borderId="82" xfId="0" applyBorder="1" applyAlignment="1">
      <alignment wrapText="1"/>
    </xf>
    <xf numFmtId="0" fontId="0" fillId="40" borderId="83" xfId="0" applyFill="1" applyBorder="1" applyAlignment="1">
      <alignment wrapText="1"/>
    </xf>
    <xf numFmtId="0" fontId="2" fillId="0" borderId="84" xfId="0" applyFont="1" applyBorder="1" applyAlignment="1">
      <alignment wrapText="1"/>
    </xf>
    <xf numFmtId="0" fontId="6" fillId="0" borderId="28" xfId="0" applyFont="1" applyBorder="1" applyAlignment="1">
      <alignment wrapText="1"/>
    </xf>
    <xf numFmtId="0" fontId="10" fillId="38" borderId="11" xfId="0" applyFont="1" applyFill="1" applyBorder="1" applyAlignment="1">
      <alignment horizontal="center" vertical="center" wrapText="1"/>
    </xf>
    <xf numFmtId="0" fontId="25" fillId="38" borderId="0" xfId="0" applyFont="1" applyFill="1" applyBorder="1" applyAlignment="1">
      <alignment/>
    </xf>
    <xf numFmtId="0" fontId="0" fillId="38" borderId="0" xfId="0" applyFill="1" applyBorder="1" applyAlignment="1">
      <alignment/>
    </xf>
    <xf numFmtId="0" fontId="0" fillId="0" borderId="75" xfId="0" applyFill="1" applyBorder="1" applyAlignment="1">
      <alignment/>
    </xf>
    <xf numFmtId="3" fontId="0" fillId="0" borderId="85" xfId="0" applyNumberFormat="1" applyBorder="1" applyAlignment="1">
      <alignment/>
    </xf>
    <xf numFmtId="179" fontId="2" fillId="0" borderId="85" xfId="0" applyNumberFormat="1" applyFont="1" applyBorder="1" applyAlignment="1">
      <alignment/>
    </xf>
    <xf numFmtId="179" fontId="2" fillId="0" borderId="86" xfId="0" applyNumberFormat="1" applyFont="1" applyBorder="1" applyAlignment="1">
      <alignment/>
    </xf>
    <xf numFmtId="38" fontId="0" fillId="0" borderId="75" xfId="0" applyNumberFormat="1" applyBorder="1" applyAlignment="1">
      <alignment/>
    </xf>
    <xf numFmtId="38" fontId="6" fillId="0" borderId="0" xfId="0" applyNumberFormat="1" applyFont="1" applyAlignment="1">
      <alignment horizontal="right" vertical="center"/>
    </xf>
    <xf numFmtId="0" fontId="6" fillId="0" borderId="26" xfId="0" applyFont="1" applyBorder="1" applyAlignment="1">
      <alignment vertical="center" wrapText="1"/>
    </xf>
    <xf numFmtId="0" fontId="0" fillId="0" borderId="12" xfId="0" applyBorder="1" applyAlignment="1">
      <alignment/>
    </xf>
    <xf numFmtId="0" fontId="6" fillId="0" borderId="12" xfId="0" applyFont="1" applyBorder="1" applyAlignment="1">
      <alignment vertical="top" wrapText="1"/>
    </xf>
    <xf numFmtId="0" fontId="0" fillId="0" borderId="12" xfId="0" applyBorder="1" applyAlignment="1">
      <alignment vertical="top" wrapText="1"/>
    </xf>
    <xf numFmtId="0" fontId="6" fillId="0" borderId="12" xfId="0" applyFont="1" applyBorder="1" applyAlignment="1">
      <alignment vertical="top" wrapText="1"/>
    </xf>
    <xf numFmtId="0" fontId="6" fillId="0" borderId="12" xfId="0" applyFont="1" applyBorder="1" applyAlignment="1">
      <alignment vertical="top"/>
    </xf>
    <xf numFmtId="0" fontId="29" fillId="0" borderId="12" xfId="0" applyFont="1" applyBorder="1" applyAlignment="1">
      <alignment vertical="top"/>
    </xf>
    <xf numFmtId="0" fontId="6" fillId="0" borderId="12" xfId="0" applyFont="1" applyBorder="1" applyAlignment="1">
      <alignment wrapText="1"/>
    </xf>
    <xf numFmtId="0" fontId="0" fillId="0" borderId="20" xfId="0" applyBorder="1" applyAlignment="1">
      <alignment/>
    </xf>
    <xf numFmtId="0" fontId="2" fillId="0" borderId="0" xfId="0" applyFont="1" applyFill="1" applyBorder="1" applyAlignment="1">
      <alignment horizontal="center" vertical="center" wrapText="1"/>
    </xf>
    <xf numFmtId="0" fontId="5" fillId="0" borderId="0" xfId="0" applyFont="1" applyFill="1" applyBorder="1" applyAlignment="1">
      <alignment wrapText="1"/>
    </xf>
    <xf numFmtId="0" fontId="29" fillId="0" borderId="0" xfId="0" applyFont="1" applyFill="1" applyBorder="1" applyAlignment="1" applyProtection="1">
      <alignment wrapText="1"/>
      <protection/>
    </xf>
    <xf numFmtId="180" fontId="0" fillId="0" borderId="74" xfId="42" applyNumberFormat="1" applyFont="1" applyBorder="1" applyAlignment="1">
      <alignment/>
    </xf>
    <xf numFmtId="0" fontId="0" fillId="0" borderId="0" xfId="0" applyFont="1" applyFill="1" applyAlignment="1">
      <alignment/>
    </xf>
    <xf numFmtId="43" fontId="0" fillId="0" borderId="0" xfId="42" applyFont="1" applyFill="1" applyAlignment="1">
      <alignment/>
    </xf>
    <xf numFmtId="43" fontId="0" fillId="0" borderId="0" xfId="42" applyFont="1" applyFill="1" applyBorder="1" applyAlignment="1">
      <alignment/>
    </xf>
    <xf numFmtId="44" fontId="0" fillId="0" borderId="0" xfId="44" applyFont="1" applyFill="1" applyAlignment="1">
      <alignment/>
    </xf>
    <xf numFmtId="0" fontId="0" fillId="0" borderId="0" xfId="0" applyFont="1" applyFill="1" applyAlignment="1">
      <alignment horizontal="center" wrapText="1"/>
    </xf>
    <xf numFmtId="43" fontId="0" fillId="0" borderId="0" xfId="0" applyNumberFormat="1" applyFont="1" applyFill="1" applyAlignment="1">
      <alignment/>
    </xf>
    <xf numFmtId="43" fontId="0" fillId="0" borderId="0" xfId="0" applyNumberFormat="1" applyFont="1" applyFill="1" applyBorder="1" applyAlignment="1">
      <alignment/>
    </xf>
    <xf numFmtId="178" fontId="0" fillId="0" borderId="0" xfId="0" applyNumberFormat="1" applyAlignment="1">
      <alignment/>
    </xf>
    <xf numFmtId="0" fontId="0" fillId="50" borderId="0" xfId="0" applyFill="1" applyAlignment="1">
      <alignment/>
    </xf>
    <xf numFmtId="0" fontId="0" fillId="50" borderId="10" xfId="0" applyFill="1" applyBorder="1" applyAlignment="1">
      <alignment wrapText="1"/>
    </xf>
    <xf numFmtId="0" fontId="0" fillId="50" borderId="50" xfId="0" applyFill="1" applyBorder="1" applyAlignment="1">
      <alignment/>
    </xf>
    <xf numFmtId="43" fontId="0" fillId="50" borderId="0" xfId="42" applyFont="1" applyFill="1" applyAlignment="1">
      <alignment/>
    </xf>
    <xf numFmtId="43" fontId="9" fillId="50" borderId="0" xfId="42" applyFont="1" applyFill="1" applyAlignment="1">
      <alignment/>
    </xf>
    <xf numFmtId="0" fontId="0" fillId="50" borderId="53" xfId="0" applyFill="1" applyBorder="1" applyAlignment="1">
      <alignment wrapText="1"/>
    </xf>
    <xf numFmtId="0" fontId="0" fillId="50" borderId="54" xfId="0" applyFill="1" applyBorder="1" applyAlignment="1">
      <alignment/>
    </xf>
    <xf numFmtId="43" fontId="9" fillId="37" borderId="10" xfId="42" applyFont="1" applyFill="1" applyBorder="1" applyAlignment="1">
      <alignment/>
    </xf>
    <xf numFmtId="184" fontId="9" fillId="37" borderId="10" xfId="42" applyNumberFormat="1" applyFont="1" applyFill="1" applyBorder="1" applyAlignment="1">
      <alignment/>
    </xf>
    <xf numFmtId="43" fontId="9" fillId="37" borderId="53" xfId="42" applyFont="1" applyFill="1" applyBorder="1" applyAlignment="1">
      <alignment/>
    </xf>
    <xf numFmtId="182" fontId="0" fillId="0" borderId="0" xfId="44" applyNumberFormat="1" applyFont="1" applyAlignment="1">
      <alignment/>
    </xf>
    <xf numFmtId="182" fontId="0" fillId="0" borderId="0" xfId="0" applyNumberFormat="1" applyAlignment="1">
      <alignment/>
    </xf>
    <xf numFmtId="178" fontId="9" fillId="0" borderId="0" xfId="42" applyNumberFormat="1" applyFont="1" applyAlignment="1">
      <alignment/>
    </xf>
    <xf numFmtId="0" fontId="2" fillId="0" borderId="0" xfId="0" applyFont="1" applyAlignment="1">
      <alignment horizontal="center"/>
    </xf>
    <xf numFmtId="43" fontId="0" fillId="50" borderId="33" xfId="42" applyFont="1" applyFill="1" applyBorder="1" applyAlignment="1">
      <alignment/>
    </xf>
    <xf numFmtId="43" fontId="9" fillId="37" borderId="33" xfId="42" applyFont="1" applyFill="1" applyBorder="1" applyAlignment="1">
      <alignment/>
    </xf>
    <xf numFmtId="43" fontId="0" fillId="50" borderId="60" xfId="0" applyNumberFormat="1" applyFill="1" applyBorder="1" applyAlignment="1">
      <alignment/>
    </xf>
    <xf numFmtId="0" fontId="53" fillId="40" borderId="70" xfId="0" applyFont="1" applyFill="1" applyBorder="1" applyAlignment="1">
      <alignment horizontal="center" wrapText="1"/>
    </xf>
    <xf numFmtId="43" fontId="53" fillId="40" borderId="70" xfId="42" applyFont="1" applyFill="1" applyBorder="1" applyAlignment="1">
      <alignment horizontal="center" wrapText="1"/>
    </xf>
    <xf numFmtId="0" fontId="52" fillId="40" borderId="70" xfId="0" applyFont="1" applyFill="1" applyBorder="1" applyAlignment="1">
      <alignment horizontal="center" wrapText="1"/>
    </xf>
    <xf numFmtId="43" fontId="52" fillId="40" borderId="58" xfId="0" applyNumberFormat="1" applyFont="1" applyFill="1" applyBorder="1" applyAlignment="1">
      <alignment horizontal="center" wrapText="1"/>
    </xf>
    <xf numFmtId="0" fontId="2" fillId="51" borderId="69" xfId="0" applyFont="1" applyFill="1" applyBorder="1" applyAlignment="1">
      <alignment horizontal="center" wrapText="1"/>
    </xf>
    <xf numFmtId="0" fontId="2" fillId="51" borderId="11" xfId="0" applyFont="1" applyFill="1" applyBorder="1" applyAlignment="1">
      <alignment horizontal="left" wrapText="1" indent="1"/>
    </xf>
    <xf numFmtId="0" fontId="2" fillId="51" borderId="11" xfId="0" applyFont="1" applyFill="1" applyBorder="1" applyAlignment="1">
      <alignment horizontal="center" wrapText="1"/>
    </xf>
    <xf numFmtId="0" fontId="2" fillId="51" borderId="72" xfId="0" applyFont="1" applyFill="1" applyBorder="1" applyAlignment="1">
      <alignment horizontal="center" wrapText="1"/>
    </xf>
    <xf numFmtId="43" fontId="2" fillId="51" borderId="11" xfId="42" applyFont="1" applyFill="1" applyBorder="1" applyAlignment="1">
      <alignment horizontal="center" wrapText="1"/>
    </xf>
    <xf numFmtId="0" fontId="0" fillId="42" borderId="59" xfId="0" applyFont="1" applyFill="1" applyBorder="1" applyAlignment="1">
      <alignment/>
    </xf>
    <xf numFmtId="0" fontId="0" fillId="42" borderId="33" xfId="0" applyFont="1" applyFill="1" applyBorder="1" applyAlignment="1">
      <alignment/>
    </xf>
    <xf numFmtId="43" fontId="53" fillId="42" borderId="33" xfId="42" applyFont="1" applyFill="1" applyBorder="1" applyAlignment="1">
      <alignment horizontal="center" wrapText="1"/>
    </xf>
    <xf numFmtId="43" fontId="0" fillId="42" borderId="33" xfId="42" applyFont="1" applyFill="1" applyBorder="1" applyAlignment="1">
      <alignment/>
    </xf>
    <xf numFmtId="43" fontId="0" fillId="42" borderId="60" xfId="0" applyNumberFormat="1" applyFont="1" applyFill="1" applyBorder="1" applyAlignment="1">
      <alignment/>
    </xf>
    <xf numFmtId="0" fontId="0" fillId="42" borderId="59" xfId="0" applyFont="1" applyFill="1" applyBorder="1" applyAlignment="1">
      <alignment horizontal="left" indent="1"/>
    </xf>
    <xf numFmtId="43" fontId="0" fillId="42" borderId="33" xfId="42" applyFont="1" applyFill="1" applyBorder="1" applyAlignment="1">
      <alignment/>
    </xf>
    <xf numFmtId="43" fontId="9" fillId="42" borderId="33" xfId="42" applyFont="1" applyFill="1" applyBorder="1" applyAlignment="1">
      <alignment/>
    </xf>
    <xf numFmtId="43" fontId="0" fillId="42" borderId="60" xfId="0" applyNumberFormat="1" applyFill="1" applyBorder="1" applyAlignment="1">
      <alignment/>
    </xf>
    <xf numFmtId="0" fontId="53" fillId="40" borderId="57" xfId="0" applyFont="1" applyFill="1" applyBorder="1" applyAlignment="1">
      <alignment horizontal="center" wrapText="1"/>
    </xf>
    <xf numFmtId="0" fontId="0" fillId="50" borderId="59" xfId="0" applyFont="1" applyFill="1" applyBorder="1" applyAlignment="1">
      <alignment horizontal="left" indent="1"/>
    </xf>
    <xf numFmtId="0" fontId="0" fillId="50" borderId="87" xfId="0" applyFont="1" applyFill="1" applyBorder="1" applyAlignment="1">
      <alignment horizontal="left" indent="1"/>
    </xf>
    <xf numFmtId="0" fontId="0" fillId="50" borderId="88" xfId="0" applyFont="1" applyFill="1" applyBorder="1" applyAlignment="1">
      <alignment horizontal="left" indent="1"/>
    </xf>
    <xf numFmtId="43" fontId="9" fillId="37" borderId="37" xfId="42" applyFont="1" applyFill="1" applyBorder="1" applyAlignment="1">
      <alignment/>
    </xf>
    <xf numFmtId="0" fontId="0" fillId="50" borderId="59" xfId="0" applyFont="1" applyFill="1" applyBorder="1" applyAlignment="1">
      <alignment/>
    </xf>
    <xf numFmtId="0" fontId="0" fillId="0" borderId="0" xfId="0" applyFont="1" applyFill="1" applyBorder="1" applyAlignment="1">
      <alignment horizontal="center" wrapText="1"/>
    </xf>
    <xf numFmtId="0" fontId="0" fillId="0" borderId="59" xfId="0" applyFont="1" applyFill="1" applyBorder="1" applyAlignment="1">
      <alignment horizontal="left" indent="1"/>
    </xf>
    <xf numFmtId="0" fontId="0" fillId="0" borderId="88" xfId="0" applyFont="1" applyFill="1" applyBorder="1" applyAlignment="1">
      <alignment horizontal="left" indent="1"/>
    </xf>
    <xf numFmtId="43" fontId="0" fillId="0" borderId="37" xfId="42" applyFont="1" applyFill="1" applyBorder="1" applyAlignment="1">
      <alignment/>
    </xf>
    <xf numFmtId="43" fontId="0" fillId="0" borderId="89" xfId="0" applyNumberFormat="1" applyFill="1" applyBorder="1" applyAlignment="1">
      <alignment/>
    </xf>
    <xf numFmtId="0" fontId="25" fillId="0" borderId="0" xfId="0" applyFont="1" applyFill="1" applyAlignment="1">
      <alignment/>
    </xf>
    <xf numFmtId="0" fontId="0" fillId="0" borderId="69" xfId="0" applyFont="1" applyFill="1" applyBorder="1" applyAlignment="1">
      <alignment/>
    </xf>
    <xf numFmtId="0" fontId="2" fillId="0" borderId="72" xfId="0" applyFont="1" applyFill="1" applyBorder="1" applyAlignment="1">
      <alignment/>
    </xf>
    <xf numFmtId="0" fontId="0" fillId="0" borderId="72" xfId="0" applyFont="1" applyFill="1" applyBorder="1" applyAlignment="1">
      <alignment/>
    </xf>
    <xf numFmtId="43" fontId="0" fillId="0" borderId="72" xfId="42" applyFont="1" applyFill="1" applyBorder="1" applyAlignment="1">
      <alignment/>
    </xf>
    <xf numFmtId="182" fontId="2" fillId="0" borderId="23" xfId="0" applyNumberFormat="1" applyFont="1" applyFill="1" applyBorder="1" applyAlignment="1">
      <alignment/>
    </xf>
    <xf numFmtId="0" fontId="2" fillId="0" borderId="0" xfId="0" applyFont="1" applyFill="1" applyAlignment="1">
      <alignment/>
    </xf>
    <xf numFmtId="178" fontId="9" fillId="0" borderId="0" xfId="42" applyNumberFormat="1" applyFont="1" applyFill="1" applyAlignment="1">
      <alignment/>
    </xf>
    <xf numFmtId="182" fontId="0" fillId="0" borderId="0" xfId="44" applyNumberFormat="1" applyFont="1" applyFill="1" applyAlignment="1">
      <alignment/>
    </xf>
    <xf numFmtId="43" fontId="0" fillId="0" borderId="37" xfId="42" applyFill="1" applyBorder="1" applyAlignment="1">
      <alignment/>
    </xf>
    <xf numFmtId="43" fontId="0" fillId="50" borderId="33" xfId="42" applyFill="1" applyBorder="1" applyAlignment="1">
      <alignment/>
    </xf>
    <xf numFmtId="43" fontId="0" fillId="0" borderId="33" xfId="42" applyFont="1" applyFill="1" applyBorder="1" applyAlignment="1">
      <alignment/>
    </xf>
    <xf numFmtId="43" fontId="9" fillId="0" borderId="33" xfId="42" applyFont="1" applyFill="1" applyBorder="1" applyAlignment="1">
      <alignment/>
    </xf>
    <xf numFmtId="43" fontId="0" fillId="0" borderId="60" xfId="0" applyNumberFormat="1" applyFill="1" applyBorder="1" applyAlignment="1">
      <alignment/>
    </xf>
    <xf numFmtId="43" fontId="0" fillId="42" borderId="33" xfId="42" applyFill="1" applyBorder="1" applyAlignment="1">
      <alignment/>
    </xf>
    <xf numFmtId="43" fontId="0" fillId="0" borderId="33" xfId="42" applyFill="1" applyBorder="1" applyAlignment="1">
      <alignment/>
    </xf>
    <xf numFmtId="0" fontId="0" fillId="0" borderId="52" xfId="0" applyFont="1" applyBorder="1" applyAlignment="1">
      <alignment horizontal="left" indent="1"/>
    </xf>
    <xf numFmtId="0" fontId="2" fillId="0" borderId="46" xfId="0" applyFont="1" applyBorder="1" applyAlignment="1">
      <alignment/>
    </xf>
    <xf numFmtId="0" fontId="0" fillId="0" borderId="20" xfId="0" applyBorder="1" applyAlignment="1">
      <alignment wrapText="1"/>
    </xf>
    <xf numFmtId="0" fontId="0" fillId="0" borderId="55" xfId="0" applyBorder="1" applyAlignment="1">
      <alignment/>
    </xf>
    <xf numFmtId="43" fontId="9" fillId="37" borderId="10" xfId="42" applyNumberFormat="1" applyFont="1" applyFill="1" applyBorder="1" applyAlignment="1">
      <alignment/>
    </xf>
    <xf numFmtId="0" fontId="54" fillId="42" borderId="33" xfId="0" applyFont="1" applyFill="1" applyBorder="1" applyAlignment="1">
      <alignment/>
    </xf>
    <xf numFmtId="182" fontId="2" fillId="0" borderId="0" xfId="0" applyNumberFormat="1" applyFont="1" applyFill="1" applyBorder="1" applyAlignment="1">
      <alignment/>
    </xf>
    <xf numFmtId="178" fontId="0" fillId="0" borderId="0" xfId="42" applyNumberFormat="1" applyFont="1" applyFill="1" applyBorder="1" applyAlignment="1">
      <alignment/>
    </xf>
    <xf numFmtId="0" fontId="0" fillId="0" borderId="37" xfId="0" applyFont="1" applyFill="1" applyBorder="1" applyAlignment="1">
      <alignment/>
    </xf>
    <xf numFmtId="43" fontId="0" fillId="0" borderId="89" xfId="0" applyNumberFormat="1" applyFont="1" applyFill="1" applyBorder="1" applyAlignment="1">
      <alignment/>
    </xf>
    <xf numFmtId="0" fontId="0" fillId="0" borderId="37" xfId="0" applyFont="1" applyFill="1" applyBorder="1" applyAlignment="1">
      <alignment horizontal="left" indent="1"/>
    </xf>
    <xf numFmtId="43" fontId="9" fillId="0" borderId="37" xfId="42" applyFont="1" applyFill="1" applyBorder="1" applyAlignment="1">
      <alignment/>
    </xf>
    <xf numFmtId="0" fontId="2" fillId="0" borderId="90" xfId="0" applyFont="1" applyBorder="1" applyAlignment="1">
      <alignment horizontal="left" indent="1"/>
    </xf>
    <xf numFmtId="0" fontId="2" fillId="0" borderId="90" xfId="0" applyFont="1" applyBorder="1" applyAlignment="1">
      <alignment horizontal="left" indent="2"/>
    </xf>
    <xf numFmtId="0" fontId="2" fillId="0" borderId="33" xfId="0" applyFont="1" applyBorder="1" applyAlignment="1">
      <alignment horizontal="left" indent="1"/>
    </xf>
    <xf numFmtId="178" fontId="0" fillId="0" borderId="33" xfId="42" applyNumberFormat="1" applyFont="1" applyBorder="1" applyAlignment="1">
      <alignment/>
    </xf>
    <xf numFmtId="0" fontId="2" fillId="0" borderId="91" xfId="0" applyFont="1" applyBorder="1" applyAlignment="1">
      <alignment horizontal="left" indent="1"/>
    </xf>
    <xf numFmtId="178" fontId="0" fillId="0" borderId="91" xfId="42" applyNumberFormat="1" applyFont="1" applyBorder="1" applyAlignment="1">
      <alignment/>
    </xf>
    <xf numFmtId="0" fontId="0" fillId="52" borderId="36" xfId="0" applyFill="1" applyBorder="1" applyAlignment="1">
      <alignment/>
    </xf>
    <xf numFmtId="0" fontId="2" fillId="52" borderId="36" xfId="0" applyFont="1" applyFill="1" applyBorder="1" applyAlignment="1">
      <alignment horizontal="center"/>
    </xf>
    <xf numFmtId="0" fontId="2" fillId="45" borderId="39" xfId="0" applyFont="1" applyFill="1" applyBorder="1" applyAlignment="1">
      <alignment/>
    </xf>
    <xf numFmtId="0" fontId="0" fillId="45" borderId="40" xfId="0" applyFill="1" applyBorder="1" applyAlignment="1">
      <alignment/>
    </xf>
    <xf numFmtId="0" fontId="0" fillId="36" borderId="33" xfId="0" applyFill="1" applyBorder="1" applyAlignment="1">
      <alignment vertical="top"/>
    </xf>
    <xf numFmtId="0" fontId="0" fillId="36" borderId="33" xfId="0" applyFont="1" applyFill="1" applyBorder="1" applyAlignment="1">
      <alignment horizontal="center" vertical="top" wrapText="1"/>
    </xf>
    <xf numFmtId="0" fontId="0" fillId="50" borderId="33" xfId="0" applyFont="1" applyFill="1" applyBorder="1" applyAlignment="1">
      <alignment/>
    </xf>
    <xf numFmtId="43" fontId="0" fillId="50" borderId="33" xfId="42" applyFont="1" applyFill="1" applyBorder="1" applyAlignment="1">
      <alignment/>
    </xf>
    <xf numFmtId="0" fontId="0" fillId="50" borderId="60" xfId="0" applyFont="1" applyFill="1" applyBorder="1" applyAlignment="1">
      <alignment/>
    </xf>
    <xf numFmtId="9" fontId="0" fillId="0" borderId="0" xfId="61" applyFont="1" applyAlignment="1">
      <alignment/>
    </xf>
    <xf numFmtId="3" fontId="9" fillId="0" borderId="92" xfId="0" applyNumberFormat="1" applyFont="1" applyFill="1" applyBorder="1" applyAlignment="1">
      <alignment wrapText="1"/>
    </xf>
    <xf numFmtId="0" fontId="0" fillId="0" borderId="73" xfId="0" applyBorder="1" applyAlignment="1">
      <alignment/>
    </xf>
    <xf numFmtId="2" fontId="9" fillId="37" borderId="20" xfId="0" applyNumberFormat="1" applyFont="1" applyFill="1" applyBorder="1" applyAlignment="1">
      <alignment/>
    </xf>
    <xf numFmtId="0" fontId="0" fillId="0" borderId="93" xfId="0" applyBorder="1" applyAlignment="1">
      <alignment/>
    </xf>
    <xf numFmtId="0" fontId="0" fillId="0" borderId="94" xfId="0" applyBorder="1" applyAlignment="1">
      <alignment/>
    </xf>
    <xf numFmtId="4" fontId="9" fillId="37" borderId="94" xfId="0" applyNumberFormat="1" applyFont="1" applyFill="1" applyBorder="1" applyAlignment="1">
      <alignment/>
    </xf>
    <xf numFmtId="0" fontId="0" fillId="0" borderId="94" xfId="0" applyBorder="1" applyAlignment="1">
      <alignment wrapText="1"/>
    </xf>
    <xf numFmtId="0" fontId="0" fillId="0" borderId="95" xfId="0" applyBorder="1" applyAlignment="1">
      <alignment wrapText="1"/>
    </xf>
    <xf numFmtId="2" fontId="9" fillId="0" borderId="33" xfId="0" applyNumberFormat="1" applyFont="1" applyBorder="1" applyAlignment="1">
      <alignment/>
    </xf>
    <xf numFmtId="0" fontId="0" fillId="0" borderId="90" xfId="0" applyFont="1" applyBorder="1" applyAlignment="1">
      <alignment horizontal="left" indent="1"/>
    </xf>
    <xf numFmtId="0" fontId="0" fillId="0" borderId="0" xfId="0" applyFont="1" applyAlignment="1">
      <alignment horizontal="left" indent="1"/>
    </xf>
    <xf numFmtId="178" fontId="0" fillId="0" borderId="0" xfId="42" applyNumberFormat="1" applyAlignment="1">
      <alignment/>
    </xf>
    <xf numFmtId="178" fontId="0" fillId="0" borderId="41" xfId="42" applyNumberFormat="1" applyBorder="1" applyAlignment="1">
      <alignment/>
    </xf>
    <xf numFmtId="182" fontId="0" fillId="0" borderId="0" xfId="44" applyNumberFormat="1" applyAlignment="1">
      <alignment/>
    </xf>
    <xf numFmtId="178" fontId="0" fillId="0" borderId="0" xfId="42" applyNumberFormat="1" applyBorder="1" applyAlignment="1">
      <alignment/>
    </xf>
    <xf numFmtId="178" fontId="9" fillId="37" borderId="90" xfId="42" applyNumberFormat="1" applyFont="1" applyFill="1" applyBorder="1" applyAlignment="1">
      <alignment/>
    </xf>
    <xf numFmtId="178" fontId="0" fillId="0" borderId="90" xfId="42" applyNumberFormat="1" applyFont="1" applyFill="1" applyBorder="1" applyAlignment="1">
      <alignment/>
    </xf>
    <xf numFmtId="178" fontId="0" fillId="0" borderId="96" xfId="42" applyNumberFormat="1" applyFont="1" applyFill="1" applyBorder="1" applyAlignment="1">
      <alignment/>
    </xf>
    <xf numFmtId="0" fontId="6" fillId="0" borderId="0" xfId="0" applyFont="1" applyFill="1" applyBorder="1" applyAlignment="1">
      <alignment horizontal="left" indent="1"/>
    </xf>
    <xf numFmtId="178" fontId="6" fillId="0" borderId="0" xfId="42" applyNumberFormat="1" applyFont="1" applyFill="1" applyBorder="1" applyAlignment="1">
      <alignment/>
    </xf>
    <xf numFmtId="178" fontId="0" fillId="0" borderId="33" xfId="42" applyNumberFormat="1" applyFont="1" applyFill="1" applyBorder="1" applyAlignment="1">
      <alignment/>
    </xf>
    <xf numFmtId="0" fontId="6" fillId="45" borderId="90" xfId="0" applyFont="1" applyFill="1" applyBorder="1" applyAlignment="1">
      <alignment horizontal="left"/>
    </xf>
    <xf numFmtId="178" fontId="0" fillId="45" borderId="0" xfId="42" applyNumberFormat="1" applyFill="1" applyAlignment="1">
      <alignment/>
    </xf>
    <xf numFmtId="0" fontId="0" fillId="0" borderId="0" xfId="0" applyFont="1" applyFill="1" applyAlignment="1">
      <alignment wrapText="1"/>
    </xf>
    <xf numFmtId="0" fontId="0" fillId="0" borderId="97" xfId="0" applyFont="1" applyBorder="1" applyAlignment="1">
      <alignment horizontal="left" indent="1"/>
    </xf>
    <xf numFmtId="0" fontId="0" fillId="0" borderId="0" xfId="0" applyAlignment="1">
      <alignment horizontal="left" indent="1"/>
    </xf>
    <xf numFmtId="182" fontId="0" fillId="36" borderId="0" xfId="44" applyNumberFormat="1" applyFill="1" applyAlignment="1">
      <alignment/>
    </xf>
    <xf numFmtId="182" fontId="0" fillId="36" borderId="41" xfId="44" applyNumberFormat="1" applyFill="1" applyBorder="1" applyAlignment="1">
      <alignment/>
    </xf>
    <xf numFmtId="3" fontId="33" fillId="0" borderId="0" xfId="0" applyNumberFormat="1" applyFont="1" applyAlignment="1">
      <alignment/>
    </xf>
    <xf numFmtId="0" fontId="38" fillId="0" borderId="0" xfId="0" applyFont="1" applyAlignment="1">
      <alignment horizontal="left" wrapText="1"/>
    </xf>
    <xf numFmtId="0" fontId="0" fillId="0" borderId="35" xfId="0" applyBorder="1" applyAlignment="1">
      <alignment/>
    </xf>
    <xf numFmtId="3" fontId="10"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3" fontId="10" fillId="53" borderId="11" xfId="0" applyNumberFormat="1" applyFont="1" applyFill="1" applyBorder="1" applyAlignment="1">
      <alignment horizontal="center" vertical="center" wrapText="1"/>
    </xf>
    <xf numFmtId="0" fontId="10" fillId="48" borderId="11" xfId="0" applyFont="1" applyFill="1" applyBorder="1" applyAlignment="1">
      <alignment horizontal="center" vertical="center" wrapText="1"/>
    </xf>
    <xf numFmtId="3" fontId="10" fillId="48" borderId="11" xfId="0" applyNumberFormat="1" applyFont="1" applyFill="1" applyBorder="1" applyAlignment="1">
      <alignment horizontal="center" vertical="center" wrapText="1"/>
    </xf>
    <xf numFmtId="3" fontId="10" fillId="36" borderId="11" xfId="0" applyNumberFormat="1"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22" fillId="47" borderId="98" xfId="0" applyFont="1" applyFill="1" applyBorder="1" applyAlignment="1" applyProtection="1">
      <alignment/>
      <protection locked="0"/>
    </xf>
    <xf numFmtId="0" fontId="22" fillId="47" borderId="99" xfId="0" applyFont="1" applyFill="1" applyBorder="1" applyAlignment="1" applyProtection="1">
      <alignment horizontal="center"/>
      <protection locked="0"/>
    </xf>
    <xf numFmtId="3" fontId="0" fillId="47" borderId="100" xfId="0" applyNumberFormat="1" applyFill="1" applyBorder="1" applyAlignment="1">
      <alignment wrapText="1"/>
    </xf>
    <xf numFmtId="3" fontId="0" fillId="47" borderId="101" xfId="0" applyNumberFormat="1" applyFill="1" applyBorder="1" applyAlignment="1">
      <alignment wrapText="1"/>
    </xf>
    <xf numFmtId="0" fontId="0" fillId="47" borderId="101" xfId="0" applyFill="1" applyBorder="1" applyAlignment="1">
      <alignment wrapText="1"/>
    </xf>
    <xf numFmtId="0" fontId="0" fillId="47" borderId="63" xfId="0" applyFill="1" applyBorder="1" applyAlignment="1">
      <alignment wrapText="1"/>
    </xf>
    <xf numFmtId="179" fontId="0" fillId="47" borderId="101" xfId="0" applyNumberFormat="1" applyFill="1" applyBorder="1" applyAlignment="1">
      <alignment wrapText="1"/>
    </xf>
    <xf numFmtId="10" fontId="0" fillId="47" borderId="101" xfId="61" applyNumberFormat="1" applyFill="1" applyBorder="1" applyAlignment="1">
      <alignment wrapText="1"/>
    </xf>
    <xf numFmtId="0" fontId="0" fillId="47" borderId="102" xfId="0" applyFill="1" applyBorder="1" applyAlignment="1">
      <alignment wrapText="1"/>
    </xf>
    <xf numFmtId="0" fontId="12" fillId="40" borderId="103" xfId="0" applyFont="1" applyFill="1" applyBorder="1" applyAlignment="1" applyProtection="1">
      <alignment/>
      <protection locked="0"/>
    </xf>
    <xf numFmtId="0" fontId="12" fillId="40" borderId="104" xfId="0" applyFont="1" applyFill="1" applyBorder="1" applyAlignment="1" applyProtection="1">
      <alignment/>
      <protection locked="0"/>
    </xf>
    <xf numFmtId="3" fontId="24" fillId="37" borderId="105" xfId="0" applyNumberFormat="1" applyFont="1" applyFill="1" applyBorder="1" applyAlignment="1" applyProtection="1">
      <alignment/>
      <protection locked="0"/>
    </xf>
    <xf numFmtId="3" fontId="0" fillId="0" borderId="64" xfId="0" applyNumberFormat="1" applyFill="1" applyBorder="1" applyAlignment="1">
      <alignment wrapText="1"/>
    </xf>
    <xf numFmtId="0" fontId="24" fillId="37" borderId="64" xfId="0" applyFont="1" applyFill="1" applyBorder="1" applyAlignment="1">
      <alignment wrapText="1"/>
    </xf>
    <xf numFmtId="3" fontId="24" fillId="37" borderId="64" xfId="0" applyNumberFormat="1" applyFont="1" applyFill="1" applyBorder="1" applyAlignment="1" applyProtection="1">
      <alignment/>
      <protection locked="0"/>
    </xf>
    <xf numFmtId="9" fontId="24" fillId="37" borderId="64" xfId="0" applyNumberFormat="1" applyFont="1" applyFill="1" applyBorder="1" applyAlignment="1">
      <alignment wrapText="1"/>
    </xf>
    <xf numFmtId="3" fontId="24" fillId="37" borderId="64" xfId="0" applyNumberFormat="1" applyFont="1" applyFill="1" applyBorder="1" applyAlignment="1">
      <alignment horizontal="right" vertical="center" wrapText="1"/>
    </xf>
    <xf numFmtId="0" fontId="0" fillId="54" borderId="64" xfId="0" applyFill="1" applyBorder="1" applyAlignment="1">
      <alignment wrapText="1"/>
    </xf>
    <xf numFmtId="3" fontId="0" fillId="0" borderId="64" xfId="0" applyNumberFormat="1" applyFont="1" applyFill="1" applyBorder="1" applyAlignment="1">
      <alignment horizontal="right" vertical="center" wrapText="1"/>
    </xf>
    <xf numFmtId="3" fontId="0" fillId="0" borderId="64" xfId="0" applyNumberFormat="1" applyFont="1" applyBorder="1" applyAlignment="1">
      <alignment horizontal="right" wrapText="1"/>
    </xf>
    <xf numFmtId="3" fontId="0" fillId="0" borderId="106" xfId="0" applyNumberFormat="1" applyFont="1" applyFill="1" applyBorder="1" applyAlignment="1">
      <alignment horizontal="right" vertical="center" wrapText="1"/>
    </xf>
    <xf numFmtId="43" fontId="0" fillId="0" borderId="0" xfId="42" applyFill="1" applyBorder="1" applyAlignment="1">
      <alignment wrapText="1"/>
    </xf>
    <xf numFmtId="0" fontId="12" fillId="40" borderId="107" xfId="0" applyFont="1" applyFill="1" applyBorder="1" applyAlignment="1" applyProtection="1">
      <alignment/>
      <protection locked="0"/>
    </xf>
    <xf numFmtId="0" fontId="12" fillId="40" borderId="108" xfId="0" applyFont="1" applyFill="1" applyBorder="1" applyAlignment="1" applyProtection="1">
      <alignment/>
      <protection locked="0"/>
    </xf>
    <xf numFmtId="3" fontId="24" fillId="37" borderId="109" xfId="0" applyNumberFormat="1" applyFont="1" applyFill="1" applyBorder="1" applyAlignment="1" applyProtection="1">
      <alignment/>
      <protection locked="0"/>
    </xf>
    <xf numFmtId="0" fontId="24" fillId="37" borderId="12" xfId="0" applyFont="1" applyFill="1" applyBorder="1" applyAlignment="1">
      <alignment wrapText="1"/>
    </xf>
    <xf numFmtId="3" fontId="24" fillId="37" borderId="12" xfId="0" applyNumberFormat="1" applyFont="1" applyFill="1" applyBorder="1" applyAlignment="1" applyProtection="1">
      <alignment/>
      <protection locked="0"/>
    </xf>
    <xf numFmtId="9" fontId="24" fillId="37" borderId="12" xfId="0" applyNumberFormat="1" applyFont="1" applyFill="1" applyBorder="1" applyAlignment="1">
      <alignment wrapText="1"/>
    </xf>
    <xf numFmtId="3" fontId="24" fillId="37" borderId="12" xfId="0" applyNumberFormat="1" applyFont="1" applyFill="1" applyBorder="1" applyAlignment="1">
      <alignment horizontal="right" vertical="center" wrapText="1"/>
    </xf>
    <xf numFmtId="0" fontId="0" fillId="54" borderId="12" xfId="0" applyFill="1" applyBorder="1" applyAlignment="1">
      <alignment wrapText="1"/>
    </xf>
    <xf numFmtId="3" fontId="0" fillId="0" borderId="12" xfId="0" applyNumberFormat="1" applyFont="1" applyBorder="1" applyAlignment="1">
      <alignment horizontal="right" vertical="center" wrapText="1"/>
    </xf>
    <xf numFmtId="3" fontId="0" fillId="0" borderId="12" xfId="0" applyNumberFormat="1" applyFont="1" applyBorder="1" applyAlignment="1">
      <alignment horizontal="right" wrapText="1"/>
    </xf>
    <xf numFmtId="3" fontId="0" fillId="0" borderId="12" xfId="0" applyNumberFormat="1" applyFont="1" applyFill="1" applyBorder="1" applyAlignment="1">
      <alignment horizontal="right" vertical="center" wrapText="1"/>
    </xf>
    <xf numFmtId="3" fontId="0" fillId="0" borderId="65" xfId="0" applyNumberFormat="1" applyFont="1" applyFill="1" applyBorder="1" applyAlignment="1">
      <alignment horizontal="right" vertical="center" wrapText="1"/>
    </xf>
    <xf numFmtId="0" fontId="0" fillId="40" borderId="107" xfId="0" applyFill="1" applyBorder="1" applyAlignment="1">
      <alignment wrapText="1"/>
    </xf>
    <xf numFmtId="0" fontId="0" fillId="40" borderId="110" xfId="0" applyFill="1" applyBorder="1" applyAlignment="1">
      <alignment wrapText="1"/>
    </xf>
    <xf numFmtId="3" fontId="24" fillId="37" borderId="111" xfId="0" applyNumberFormat="1" applyFont="1" applyFill="1" applyBorder="1" applyAlignment="1">
      <alignment wrapText="1"/>
    </xf>
    <xf numFmtId="3" fontId="0" fillId="0" borderId="78" xfId="0" applyNumberFormat="1" applyFill="1" applyBorder="1" applyAlignment="1">
      <alignment wrapText="1"/>
    </xf>
    <xf numFmtId="3" fontId="9" fillId="0" borderId="78" xfId="0" applyNumberFormat="1" applyFont="1" applyFill="1" applyBorder="1" applyAlignment="1">
      <alignment wrapText="1"/>
    </xf>
    <xf numFmtId="0" fontId="24" fillId="37" borderId="78" xfId="0" applyFont="1" applyFill="1" applyBorder="1" applyAlignment="1">
      <alignment wrapText="1"/>
    </xf>
    <xf numFmtId="9" fontId="24" fillId="37" borderId="78" xfId="0" applyNumberFormat="1" applyFont="1" applyFill="1" applyBorder="1" applyAlignment="1">
      <alignment wrapText="1"/>
    </xf>
    <xf numFmtId="3" fontId="24" fillId="37" borderId="78" xfId="0" applyNumberFormat="1" applyFont="1" applyFill="1" applyBorder="1" applyAlignment="1">
      <alignment horizontal="right" vertical="center" wrapText="1"/>
    </xf>
    <xf numFmtId="0" fontId="0" fillId="54" borderId="78" xfId="0" applyFill="1" applyBorder="1" applyAlignment="1">
      <alignment wrapText="1"/>
    </xf>
    <xf numFmtId="3" fontId="0" fillId="0" borderId="78" xfId="0" applyNumberFormat="1" applyFont="1" applyBorder="1" applyAlignment="1">
      <alignment horizontal="right" vertical="center" wrapText="1"/>
    </xf>
    <xf numFmtId="3" fontId="0" fillId="0" borderId="78" xfId="0" applyNumberFormat="1" applyFont="1" applyBorder="1" applyAlignment="1">
      <alignment horizontal="right" wrapText="1"/>
    </xf>
    <xf numFmtId="3" fontId="0" fillId="0" borderId="78" xfId="0" applyNumberFormat="1" applyFont="1" applyFill="1" applyBorder="1" applyAlignment="1">
      <alignment horizontal="right" vertical="center" wrapText="1"/>
    </xf>
    <xf numFmtId="3" fontId="0" fillId="0" borderId="79" xfId="0" applyNumberFormat="1" applyFont="1" applyFill="1" applyBorder="1" applyAlignment="1">
      <alignment horizontal="right" vertical="center" wrapText="1"/>
    </xf>
    <xf numFmtId="3" fontId="0" fillId="47" borderId="112" xfId="0" applyNumberFormat="1" applyFill="1" applyBorder="1" applyAlignment="1">
      <alignment wrapText="1"/>
    </xf>
    <xf numFmtId="3" fontId="0" fillId="47" borderId="64" xfId="0" applyNumberFormat="1" applyFill="1" applyBorder="1" applyAlignment="1">
      <alignment wrapText="1"/>
    </xf>
    <xf numFmtId="0" fontId="0" fillId="47" borderId="64" xfId="0" applyFill="1" applyBorder="1" applyAlignment="1">
      <alignment wrapText="1"/>
    </xf>
    <xf numFmtId="3" fontId="0" fillId="47" borderId="12" xfId="0" applyNumberFormat="1" applyFill="1" applyBorder="1" applyAlignment="1">
      <alignment wrapText="1"/>
    </xf>
    <xf numFmtId="3" fontId="0" fillId="47" borderId="65" xfId="0" applyNumberFormat="1" applyFill="1" applyBorder="1" applyAlignment="1">
      <alignment wrapText="1"/>
    </xf>
    <xf numFmtId="3" fontId="9" fillId="0" borderId="64" xfId="0" applyNumberFormat="1" applyFont="1" applyFill="1" applyBorder="1" applyAlignment="1">
      <alignment wrapText="1"/>
    </xf>
    <xf numFmtId="3" fontId="0" fillId="0" borderId="64" xfId="0" applyNumberFormat="1" applyFont="1" applyBorder="1" applyAlignment="1">
      <alignment horizontal="right" vertical="center" wrapText="1"/>
    </xf>
    <xf numFmtId="0" fontId="12" fillId="40" borderId="107" xfId="0" applyFont="1" applyFill="1" applyBorder="1" applyAlignment="1" applyProtection="1">
      <alignment horizontal="left"/>
      <protection locked="0"/>
    </xf>
    <xf numFmtId="0" fontId="12" fillId="40" borderId="98" xfId="0" applyFont="1" applyFill="1" applyBorder="1" applyAlignment="1" applyProtection="1">
      <alignment horizontal="left"/>
      <protection locked="0"/>
    </xf>
    <xf numFmtId="3" fontId="24" fillId="37" borderId="111" xfId="0" applyNumberFormat="1" applyFont="1" applyFill="1" applyBorder="1" applyAlignment="1" applyProtection="1">
      <alignment/>
      <protection locked="0"/>
    </xf>
    <xf numFmtId="3" fontId="9" fillId="0" borderId="78" xfId="0" applyNumberFormat="1" applyFont="1" applyFill="1" applyBorder="1" applyAlignment="1">
      <alignment wrapText="1"/>
    </xf>
    <xf numFmtId="3" fontId="24" fillId="37" borderId="78" xfId="0" applyNumberFormat="1" applyFont="1" applyFill="1" applyBorder="1" applyAlignment="1" applyProtection="1">
      <alignment/>
      <protection locked="0"/>
    </xf>
    <xf numFmtId="3" fontId="0" fillId="47" borderId="113" xfId="0" applyNumberFormat="1" applyFill="1" applyBorder="1" applyAlignment="1">
      <alignment wrapText="1"/>
    </xf>
    <xf numFmtId="3" fontId="0" fillId="47" borderId="78" xfId="0" applyNumberFormat="1" applyFill="1" applyBorder="1" applyAlignment="1">
      <alignment wrapText="1"/>
    </xf>
    <xf numFmtId="0" fontId="0" fillId="47" borderId="78" xfId="0" applyFont="1" applyFill="1" applyBorder="1" applyAlignment="1">
      <alignment wrapText="1"/>
    </xf>
    <xf numFmtId="0" fontId="0" fillId="47" borderId="0" xfId="0" applyFill="1" applyBorder="1" applyAlignment="1">
      <alignment wrapText="1"/>
    </xf>
    <xf numFmtId="0" fontId="0" fillId="47" borderId="114" xfId="0" applyFill="1" applyBorder="1" applyAlignment="1">
      <alignment wrapText="1"/>
    </xf>
    <xf numFmtId="3" fontId="24" fillId="37" borderId="109" xfId="0" applyNumberFormat="1" applyFont="1" applyFill="1" applyBorder="1" applyAlignment="1">
      <alignment wrapText="1"/>
    </xf>
    <xf numFmtId="3" fontId="2" fillId="37" borderId="111" xfId="0" applyNumberFormat="1" applyFont="1" applyFill="1" applyBorder="1" applyAlignment="1">
      <alignment wrapText="1"/>
    </xf>
    <xf numFmtId="3" fontId="0" fillId="47" borderId="115" xfId="0" applyNumberFormat="1" applyFill="1" applyBorder="1" applyAlignment="1">
      <alignment wrapText="1"/>
    </xf>
    <xf numFmtId="3" fontId="0" fillId="47" borderId="116" xfId="0" applyNumberFormat="1" applyFill="1" applyBorder="1" applyAlignment="1">
      <alignment wrapText="1"/>
    </xf>
    <xf numFmtId="0" fontId="0" fillId="47" borderId="116" xfId="0" applyFont="1" applyFill="1" applyBorder="1" applyAlignment="1">
      <alignment wrapText="1"/>
    </xf>
    <xf numFmtId="0" fontId="0" fillId="47" borderId="41" xfId="0" applyFill="1" applyBorder="1" applyAlignment="1">
      <alignment wrapText="1"/>
    </xf>
    <xf numFmtId="9" fontId="0" fillId="47" borderId="78" xfId="0" applyNumberFormat="1" applyFill="1" applyBorder="1" applyAlignment="1">
      <alignment wrapText="1"/>
    </xf>
    <xf numFmtId="0" fontId="0" fillId="47" borderId="117" xfId="0" applyFill="1" applyBorder="1" applyAlignment="1">
      <alignment wrapText="1"/>
    </xf>
    <xf numFmtId="0" fontId="0" fillId="40" borderId="104" xfId="0" applyFill="1" applyBorder="1" applyAlignment="1">
      <alignment/>
    </xf>
    <xf numFmtId="0" fontId="24" fillId="37" borderId="64" xfId="0" applyFont="1" applyFill="1" applyBorder="1" applyAlignment="1">
      <alignment/>
    </xf>
    <xf numFmtId="3" fontId="24" fillId="0" borderId="12" xfId="0" applyNumberFormat="1" applyFont="1" applyBorder="1" applyAlignment="1">
      <alignment horizontal="right" vertical="center" wrapText="1"/>
    </xf>
    <xf numFmtId="43" fontId="0" fillId="0" borderId="0" xfId="0" applyNumberFormat="1" applyFill="1" applyBorder="1" applyAlignment="1">
      <alignment wrapText="1"/>
    </xf>
    <xf numFmtId="0" fontId="0" fillId="40" borderId="108" xfId="0" applyFill="1" applyBorder="1" applyAlignment="1">
      <alignment/>
    </xf>
    <xf numFmtId="3" fontId="24" fillId="37" borderId="12" xfId="0" applyNumberFormat="1" applyFont="1" applyFill="1" applyBorder="1" applyAlignment="1">
      <alignment horizontal="right"/>
    </xf>
    <xf numFmtId="3" fontId="24" fillId="0" borderId="12" xfId="0" applyNumberFormat="1" applyFont="1" applyBorder="1" applyAlignment="1">
      <alignment horizontal="right"/>
    </xf>
    <xf numFmtId="0" fontId="24" fillId="37" borderId="12" xfId="0" applyFont="1" applyFill="1" applyBorder="1" applyAlignment="1">
      <alignment/>
    </xf>
    <xf numFmtId="0" fontId="0" fillId="40" borderId="110" xfId="0" applyFill="1" applyBorder="1" applyAlignment="1">
      <alignment/>
    </xf>
    <xf numFmtId="3" fontId="24" fillId="37" borderId="78" xfId="0" applyNumberFormat="1" applyFont="1" applyFill="1" applyBorder="1" applyAlignment="1">
      <alignment wrapText="1"/>
    </xf>
    <xf numFmtId="3" fontId="24" fillId="37" borderId="78" xfId="0" applyNumberFormat="1" applyFont="1" applyFill="1" applyBorder="1" applyAlignment="1">
      <alignment horizontal="right" wrapText="1"/>
    </xf>
    <xf numFmtId="3" fontId="24" fillId="0" borderId="78" xfId="0" applyNumberFormat="1" applyFont="1" applyBorder="1" applyAlignment="1">
      <alignment horizontal="right" wrapText="1"/>
    </xf>
    <xf numFmtId="3" fontId="5" fillId="47" borderId="92" xfId="0" applyNumberFormat="1" applyFont="1" applyFill="1" applyBorder="1" applyAlignment="1">
      <alignment wrapText="1"/>
    </xf>
    <xf numFmtId="3" fontId="5" fillId="47" borderId="12" xfId="0" applyNumberFormat="1" applyFont="1" applyFill="1" applyBorder="1" applyAlignment="1">
      <alignment wrapText="1"/>
    </xf>
    <xf numFmtId="0" fontId="0" fillId="47" borderId="12" xfId="0" applyFont="1" applyFill="1" applyBorder="1" applyAlignment="1">
      <alignment wrapText="1"/>
    </xf>
    <xf numFmtId="9" fontId="5" fillId="47" borderId="12" xfId="0" applyNumberFormat="1" applyFont="1" applyFill="1" applyBorder="1" applyAlignment="1">
      <alignment wrapText="1"/>
    </xf>
    <xf numFmtId="9" fontId="5" fillId="47" borderId="65" xfId="0" applyNumberFormat="1" applyFont="1" applyFill="1" applyBorder="1" applyAlignment="1">
      <alignment wrapText="1"/>
    </xf>
    <xf numFmtId="3" fontId="9" fillId="0" borderId="64" xfId="0" applyNumberFormat="1" applyFont="1" applyFill="1" applyBorder="1" applyAlignment="1">
      <alignment wrapText="1"/>
    </xf>
    <xf numFmtId="3" fontId="24" fillId="37" borderId="64" xfId="0" applyNumberFormat="1" applyFont="1" applyFill="1" applyBorder="1" applyAlignment="1">
      <alignment horizontal="right" wrapText="1"/>
    </xf>
    <xf numFmtId="0" fontId="5" fillId="54" borderId="64" xfId="0" applyFont="1" applyFill="1" applyBorder="1" applyAlignment="1">
      <alignment wrapText="1"/>
    </xf>
    <xf numFmtId="3" fontId="0" fillId="0" borderId="64" xfId="0" applyNumberFormat="1" applyBorder="1" applyAlignment="1">
      <alignment horizontal="right" wrapText="1"/>
    </xf>
    <xf numFmtId="3" fontId="24" fillId="37" borderId="12" xfId="0" applyNumberFormat="1" applyFont="1" applyFill="1" applyBorder="1" applyAlignment="1">
      <alignment horizontal="right" wrapText="1"/>
    </xf>
    <xf numFmtId="0" fontId="5" fillId="54" borderId="12" xfId="0" applyFont="1" applyFill="1" applyBorder="1" applyAlignment="1">
      <alignment wrapText="1"/>
    </xf>
    <xf numFmtId="3" fontId="0" fillId="0" borderId="12" xfId="0" applyNumberFormat="1" applyBorder="1" applyAlignment="1">
      <alignment horizontal="right" wrapText="1"/>
    </xf>
    <xf numFmtId="3" fontId="0" fillId="0" borderId="78" xfId="0" applyNumberFormat="1" applyBorder="1" applyAlignment="1">
      <alignment horizontal="right" wrapText="1"/>
    </xf>
    <xf numFmtId="3" fontId="2" fillId="42" borderId="118" xfId="0" applyNumberFormat="1" applyFont="1" applyFill="1" applyBorder="1" applyAlignment="1">
      <alignment wrapText="1"/>
    </xf>
    <xf numFmtId="9" fontId="2" fillId="42" borderId="118" xfId="0" applyNumberFormat="1" applyFont="1" applyFill="1" applyBorder="1" applyAlignment="1">
      <alignment wrapText="1"/>
    </xf>
    <xf numFmtId="3" fontId="2" fillId="42" borderId="119" xfId="0" applyNumberFormat="1" applyFont="1" applyFill="1" applyBorder="1" applyAlignment="1">
      <alignment wrapText="1"/>
    </xf>
    <xf numFmtId="0" fontId="6" fillId="0" borderId="0" xfId="0" applyFont="1" applyFill="1" applyBorder="1" applyAlignment="1">
      <alignment horizontal="left" wrapText="1"/>
    </xf>
    <xf numFmtId="9" fontId="2" fillId="0" borderId="0" xfId="0" applyNumberFormat="1" applyFont="1" applyFill="1" applyBorder="1" applyAlignment="1">
      <alignment wrapText="1"/>
    </xf>
    <xf numFmtId="3" fontId="2" fillId="42" borderId="78" xfId="0" applyNumberFormat="1" applyFont="1" applyFill="1" applyBorder="1" applyAlignment="1">
      <alignment wrapText="1"/>
    </xf>
    <xf numFmtId="0" fontId="24" fillId="42" borderId="78" xfId="0" applyFont="1" applyFill="1" applyBorder="1" applyAlignment="1">
      <alignment wrapText="1"/>
    </xf>
    <xf numFmtId="3" fontId="24" fillId="42" borderId="78" xfId="0" applyNumberFormat="1" applyFont="1" applyFill="1" applyBorder="1" applyAlignment="1" applyProtection="1">
      <alignment/>
      <protection locked="0"/>
    </xf>
    <xf numFmtId="9" fontId="24" fillId="42" borderId="78" xfId="0" applyNumberFormat="1" applyFont="1" applyFill="1" applyBorder="1" applyAlignment="1">
      <alignment wrapText="1"/>
    </xf>
    <xf numFmtId="3" fontId="24" fillId="42" borderId="78" xfId="0" applyNumberFormat="1" applyFont="1" applyFill="1" applyBorder="1" applyAlignment="1">
      <alignment horizontal="right" wrapText="1"/>
    </xf>
    <xf numFmtId="3" fontId="2" fillId="42" borderId="78" xfId="0" applyNumberFormat="1" applyFont="1" applyFill="1" applyBorder="1" applyAlignment="1">
      <alignment horizontal="right" wrapText="1"/>
    </xf>
    <xf numFmtId="3" fontId="2" fillId="42" borderId="78" xfId="0" applyNumberFormat="1" applyFont="1" applyFill="1" applyBorder="1" applyAlignment="1">
      <alignment horizontal="right" vertical="center" wrapText="1"/>
    </xf>
    <xf numFmtId="3" fontId="2" fillId="42" borderId="79" xfId="0" applyNumberFormat="1" applyFont="1" applyFill="1" applyBorder="1" applyAlignment="1">
      <alignment horizontal="right" vertical="center" wrapText="1"/>
    </xf>
    <xf numFmtId="0" fontId="12" fillId="40" borderId="120" xfId="0" applyFont="1" applyFill="1" applyBorder="1" applyAlignment="1" applyProtection="1">
      <alignment/>
      <protection locked="0"/>
    </xf>
    <xf numFmtId="0" fontId="12" fillId="40" borderId="80" xfId="0" applyFont="1" applyFill="1" applyBorder="1" applyAlignment="1" applyProtection="1">
      <alignment/>
      <protection locked="0"/>
    </xf>
    <xf numFmtId="3" fontId="24" fillId="37" borderId="121" xfId="0" applyNumberFormat="1" applyFont="1" applyFill="1" applyBorder="1" applyAlignment="1" applyProtection="1">
      <alignment horizontal="right"/>
      <protection locked="0"/>
    </xf>
    <xf numFmtId="3" fontId="0" fillId="0" borderId="63" xfId="0" applyNumberFormat="1" applyFill="1" applyBorder="1" applyAlignment="1">
      <alignment wrapText="1"/>
    </xf>
    <xf numFmtId="3" fontId="9" fillId="0" borderId="63" xfId="0" applyNumberFormat="1" applyFont="1" applyFill="1" applyBorder="1" applyAlignment="1">
      <alignment wrapText="1"/>
    </xf>
    <xf numFmtId="3" fontId="24" fillId="37" borderId="63" xfId="0" applyNumberFormat="1" applyFont="1" applyFill="1" applyBorder="1" applyAlignment="1" applyProtection="1">
      <alignment horizontal="right"/>
      <protection locked="0"/>
    </xf>
    <xf numFmtId="3" fontId="24" fillId="0" borderId="63" xfId="0" applyNumberFormat="1" applyFont="1" applyFill="1" applyBorder="1" applyAlignment="1" applyProtection="1">
      <alignment horizontal="right"/>
      <protection locked="0"/>
    </xf>
    <xf numFmtId="0" fontId="24" fillId="0" borderId="63" xfId="0" applyFont="1" applyFill="1" applyBorder="1" applyAlignment="1" applyProtection="1">
      <alignment horizontal="right"/>
      <protection locked="0"/>
    </xf>
    <xf numFmtId="3" fontId="0" fillId="0" borderId="63" xfId="0" applyNumberFormat="1" applyBorder="1" applyAlignment="1">
      <alignment horizontal="right" wrapText="1"/>
    </xf>
    <xf numFmtId="3" fontId="0" fillId="0" borderId="102" xfId="0" applyNumberFormat="1" applyFill="1" applyBorder="1" applyAlignment="1">
      <alignment wrapText="1"/>
    </xf>
    <xf numFmtId="0" fontId="12" fillId="40" borderId="0" xfId="0" applyFont="1" applyFill="1" applyBorder="1" applyAlignment="1" applyProtection="1">
      <alignment/>
      <protection locked="0"/>
    </xf>
    <xf numFmtId="3" fontId="24" fillId="37" borderId="12" xfId="0" applyNumberFormat="1" applyFont="1" applyFill="1" applyBorder="1" applyAlignment="1" applyProtection="1">
      <alignment horizontal="right"/>
      <protection locked="0"/>
    </xf>
    <xf numFmtId="3" fontId="24" fillId="0" borderId="12" xfId="0" applyNumberFormat="1" applyFont="1" applyFill="1" applyBorder="1" applyAlignment="1" applyProtection="1">
      <alignment horizontal="right"/>
      <protection locked="0"/>
    </xf>
    <xf numFmtId="0" fontId="24" fillId="0" borderId="12" xfId="0" applyFont="1" applyFill="1" applyBorder="1" applyAlignment="1" applyProtection="1">
      <alignment horizontal="right"/>
      <protection locked="0"/>
    </xf>
    <xf numFmtId="3" fontId="0" fillId="0" borderId="65" xfId="0" applyNumberFormat="1" applyFill="1" applyBorder="1" applyAlignment="1">
      <alignment wrapText="1"/>
    </xf>
    <xf numFmtId="3" fontId="24" fillId="0" borderId="12" xfId="0" applyNumberFormat="1" applyFont="1" applyFill="1" applyBorder="1" applyAlignment="1" applyProtection="1">
      <alignment/>
      <protection locked="0"/>
    </xf>
    <xf numFmtId="0" fontId="24" fillId="0" borderId="12" xfId="0" applyFont="1" applyFill="1" applyBorder="1" applyAlignment="1" applyProtection="1">
      <alignment/>
      <protection locked="0"/>
    </xf>
    <xf numFmtId="0" fontId="0" fillId="40" borderId="0" xfId="0" applyFill="1" applyBorder="1" applyAlignment="1">
      <alignment wrapText="1"/>
    </xf>
    <xf numFmtId="3" fontId="24" fillId="37" borderId="12" xfId="0" applyNumberFormat="1" applyFont="1" applyFill="1" applyBorder="1" applyAlignment="1">
      <alignment wrapText="1"/>
    </xf>
    <xf numFmtId="3" fontId="24" fillId="0" borderId="12" xfId="0" applyNumberFormat="1" applyFont="1" applyBorder="1" applyAlignment="1">
      <alignment horizontal="right" wrapText="1"/>
    </xf>
    <xf numFmtId="0" fontId="0" fillId="40" borderId="98" xfId="0" applyFill="1" applyBorder="1" applyAlignment="1">
      <alignment wrapText="1"/>
    </xf>
    <xf numFmtId="0" fontId="0" fillId="40" borderId="41" xfId="0" applyFill="1" applyBorder="1" applyAlignment="1">
      <alignment wrapText="1"/>
    </xf>
    <xf numFmtId="3" fontId="0" fillId="0" borderId="79" xfId="0" applyNumberFormat="1" applyFill="1" applyBorder="1" applyAlignment="1">
      <alignment wrapText="1"/>
    </xf>
    <xf numFmtId="0" fontId="11" fillId="54" borderId="72" xfId="0" applyFont="1" applyFill="1" applyBorder="1" applyAlignment="1">
      <alignment wrapText="1"/>
    </xf>
    <xf numFmtId="3" fontId="10" fillId="54" borderId="11" xfId="0" applyNumberFormat="1" applyFont="1" applyFill="1" applyBorder="1" applyAlignment="1">
      <alignment horizontal="center" vertical="center" wrapText="1"/>
    </xf>
    <xf numFmtId="0" fontId="0" fillId="40" borderId="0" xfId="0" applyFont="1" applyFill="1" applyBorder="1" applyAlignment="1">
      <alignment wrapText="1"/>
    </xf>
    <xf numFmtId="3" fontId="0" fillId="54" borderId="12" xfId="0" applyNumberFormat="1" applyFill="1" applyBorder="1" applyAlignment="1">
      <alignment wrapText="1"/>
    </xf>
    <xf numFmtId="0" fontId="24" fillId="37" borderId="109" xfId="0" applyFont="1" applyFill="1" applyBorder="1" applyAlignment="1">
      <alignment/>
    </xf>
    <xf numFmtId="0" fontId="0" fillId="54" borderId="12" xfId="0" applyFill="1" applyBorder="1" applyAlignment="1">
      <alignment/>
    </xf>
    <xf numFmtId="9" fontId="24" fillId="37" borderId="12" xfId="0" applyNumberFormat="1" applyFont="1" applyFill="1" applyBorder="1" applyAlignment="1">
      <alignment/>
    </xf>
    <xf numFmtId="3" fontId="24" fillId="37" borderId="113" xfId="0" applyNumberFormat="1" applyFont="1" applyFill="1" applyBorder="1" applyAlignment="1">
      <alignment wrapText="1"/>
    </xf>
    <xf numFmtId="3" fontId="0" fillId="0" borderId="78" xfId="0" applyNumberFormat="1" applyFont="1" applyBorder="1" applyAlignment="1">
      <alignment wrapText="1"/>
    </xf>
    <xf numFmtId="3" fontId="0" fillId="54" borderId="78" xfId="0" applyNumberFormat="1" applyFill="1" applyBorder="1" applyAlignment="1">
      <alignment wrapText="1"/>
    </xf>
    <xf numFmtId="0" fontId="0" fillId="0" borderId="78" xfId="0" applyBorder="1" applyAlignment="1">
      <alignment wrapText="1"/>
    </xf>
    <xf numFmtId="3" fontId="6" fillId="45" borderId="118" xfId="0" applyNumberFormat="1" applyFont="1" applyFill="1" applyBorder="1" applyAlignment="1" applyProtection="1">
      <alignment wrapText="1"/>
      <protection/>
    </xf>
    <xf numFmtId="0" fontId="29" fillId="45" borderId="118" xfId="0" applyFont="1" applyFill="1" applyBorder="1" applyAlignment="1" applyProtection="1">
      <alignment wrapText="1"/>
      <protection/>
    </xf>
    <xf numFmtId="3" fontId="6" fillId="45" borderId="119" xfId="0" applyNumberFormat="1" applyFont="1" applyFill="1" applyBorder="1" applyAlignment="1" applyProtection="1">
      <alignment wrapText="1"/>
      <protection/>
    </xf>
    <xf numFmtId="43" fontId="0" fillId="0" borderId="0" xfId="42" applyAlignment="1">
      <alignment wrapText="1"/>
    </xf>
    <xf numFmtId="3" fontId="2" fillId="45" borderId="11" xfId="0" applyNumberFormat="1" applyFont="1" applyFill="1" applyBorder="1" applyAlignment="1">
      <alignment horizontal="center" vertical="center" wrapText="1"/>
    </xf>
    <xf numFmtId="0" fontId="2" fillId="45" borderId="11" xfId="0" applyFont="1" applyFill="1" applyBorder="1" applyAlignment="1">
      <alignment horizontal="center" vertical="center" wrapText="1"/>
    </xf>
    <xf numFmtId="0" fontId="0" fillId="0" borderId="69" xfId="0" applyBorder="1" applyAlignment="1">
      <alignment wrapText="1"/>
    </xf>
    <xf numFmtId="0" fontId="0" fillId="0" borderId="72" xfId="0" applyBorder="1" applyAlignment="1">
      <alignment wrapText="1"/>
    </xf>
    <xf numFmtId="3" fontId="0" fillId="0" borderId="68" xfId="0" applyNumberFormat="1" applyBorder="1" applyAlignment="1">
      <alignment wrapText="1"/>
    </xf>
    <xf numFmtId="4" fontId="0" fillId="0" borderId="68" xfId="0" applyNumberFormat="1" applyBorder="1" applyAlignment="1">
      <alignment wrapText="1"/>
    </xf>
    <xf numFmtId="171" fontId="0" fillId="0" borderId="68" xfId="0" applyNumberFormat="1" applyBorder="1" applyAlignment="1">
      <alignment wrapText="1"/>
    </xf>
    <xf numFmtId="171" fontId="0" fillId="0" borderId="122" xfId="0" applyNumberFormat="1" applyBorder="1" applyAlignment="1">
      <alignment wrapText="1"/>
    </xf>
    <xf numFmtId="170" fontId="0" fillId="0" borderId="67" xfId="0" applyNumberFormat="1" applyBorder="1" applyAlignment="1">
      <alignment wrapText="1"/>
    </xf>
    <xf numFmtId="0" fontId="0" fillId="0" borderId="123" xfId="0" applyBorder="1" applyAlignment="1">
      <alignment/>
    </xf>
    <xf numFmtId="171" fontId="0" fillId="0" borderId="124" xfId="0" applyNumberFormat="1" applyFont="1" applyBorder="1" applyAlignment="1">
      <alignment wrapText="1"/>
    </xf>
    <xf numFmtId="171" fontId="0" fillId="0" borderId="125" xfId="0" applyNumberFormat="1" applyFont="1" applyBorder="1" applyAlignment="1">
      <alignment wrapText="1"/>
    </xf>
    <xf numFmtId="0" fontId="5" fillId="54" borderId="78" xfId="0" applyFont="1" applyFill="1" applyBorder="1" applyAlignment="1">
      <alignment wrapText="1"/>
    </xf>
    <xf numFmtId="3" fontId="0" fillId="0" borderId="92" xfId="0" applyNumberFormat="1" applyFont="1" applyFill="1" applyBorder="1" applyAlignment="1">
      <alignment wrapText="1"/>
    </xf>
    <xf numFmtId="3" fontId="2" fillId="42" borderId="111" xfId="0" applyNumberFormat="1" applyFont="1" applyFill="1" applyBorder="1" applyAlignment="1">
      <alignment wrapText="1"/>
    </xf>
    <xf numFmtId="3" fontId="24" fillId="55" borderId="12" xfId="0" applyNumberFormat="1" applyFont="1" applyFill="1" applyBorder="1" applyAlignment="1" applyProtection="1">
      <alignment/>
      <protection locked="0"/>
    </xf>
    <xf numFmtId="3" fontId="24" fillId="55" borderId="78" xfId="0" applyNumberFormat="1" applyFont="1" applyFill="1" applyBorder="1" applyAlignment="1" applyProtection="1">
      <alignment/>
      <protection locked="0"/>
    </xf>
    <xf numFmtId="9" fontId="24" fillId="37" borderId="126" xfId="0" applyNumberFormat="1" applyFont="1" applyFill="1" applyBorder="1" applyAlignment="1">
      <alignment wrapText="1"/>
    </xf>
    <xf numFmtId="9" fontId="24" fillId="37" borderId="127" xfId="0" applyNumberFormat="1" applyFont="1" applyFill="1" applyBorder="1" applyAlignment="1">
      <alignment wrapText="1"/>
    </xf>
    <xf numFmtId="9" fontId="24" fillId="37" borderId="128" xfId="0" applyNumberFormat="1" applyFont="1" applyFill="1" applyBorder="1" applyAlignment="1">
      <alignment wrapText="1"/>
    </xf>
    <xf numFmtId="3" fontId="24" fillId="0" borderId="129" xfId="0" applyNumberFormat="1" applyFont="1" applyFill="1" applyBorder="1" applyAlignment="1" applyProtection="1">
      <alignment horizontal="right"/>
      <protection locked="0"/>
    </xf>
    <xf numFmtId="3" fontId="24" fillId="0" borderId="92" xfId="0" applyNumberFormat="1" applyFont="1" applyFill="1" applyBorder="1" applyAlignment="1" applyProtection="1">
      <alignment horizontal="right"/>
      <protection locked="0"/>
    </xf>
    <xf numFmtId="3" fontId="24" fillId="0" borderId="92" xfId="0" applyNumberFormat="1" applyFont="1" applyFill="1" applyBorder="1" applyAlignment="1" applyProtection="1">
      <alignment/>
      <protection locked="0"/>
    </xf>
    <xf numFmtId="3" fontId="24" fillId="0" borderId="113" xfId="0" applyNumberFormat="1" applyFont="1" applyFill="1" applyBorder="1" applyAlignment="1" applyProtection="1">
      <alignment/>
      <protection locked="0"/>
    </xf>
    <xf numFmtId="3" fontId="0" fillId="0" borderId="130" xfId="0" applyNumberFormat="1" applyBorder="1" applyAlignment="1">
      <alignment wrapText="1"/>
    </xf>
    <xf numFmtId="3" fontId="0" fillId="0" borderId="37" xfId="0" applyNumberFormat="1" applyBorder="1" applyAlignment="1">
      <alignment wrapText="1"/>
    </xf>
    <xf numFmtId="178" fontId="24" fillId="37" borderId="0" xfId="42" applyNumberFormat="1" applyFont="1" applyFill="1" applyAlignment="1">
      <alignment/>
    </xf>
    <xf numFmtId="178" fontId="0" fillId="0" borderId="0" xfId="42" applyNumberFormat="1" applyFont="1" applyFill="1" applyAlignment="1">
      <alignment/>
    </xf>
    <xf numFmtId="9" fontId="24" fillId="37" borderId="0" xfId="61" applyFont="1" applyFill="1" applyAlignment="1">
      <alignment/>
    </xf>
    <xf numFmtId="44" fontId="24" fillId="37" borderId="0" xfId="44" applyFont="1" applyFill="1" applyAlignment="1">
      <alignment/>
    </xf>
    <xf numFmtId="0" fontId="2" fillId="0" borderId="49" xfId="0" applyFont="1" applyFill="1" applyBorder="1" applyAlignment="1">
      <alignment horizontal="left"/>
    </xf>
    <xf numFmtId="43" fontId="9" fillId="0" borderId="10" xfId="42" applyNumberFormat="1" applyFont="1" applyFill="1" applyBorder="1" applyAlignment="1">
      <alignment/>
    </xf>
    <xf numFmtId="0" fontId="0" fillId="0" borderId="10" xfId="0" applyFill="1" applyBorder="1" applyAlignment="1">
      <alignment wrapText="1"/>
    </xf>
    <xf numFmtId="0" fontId="0" fillId="0" borderId="50" xfId="0" applyFill="1" applyBorder="1" applyAlignment="1">
      <alignment/>
    </xf>
    <xf numFmtId="0" fontId="0" fillId="0" borderId="49" xfId="0" applyNumberFormat="1" applyFont="1" applyFill="1" applyBorder="1" applyAlignment="1">
      <alignment horizontal="left" indent="1"/>
    </xf>
    <xf numFmtId="0" fontId="2" fillId="0" borderId="49" xfId="0" applyNumberFormat="1" applyFont="1" applyFill="1" applyBorder="1" applyAlignment="1">
      <alignment horizontal="left"/>
    </xf>
    <xf numFmtId="178" fontId="9" fillId="37" borderId="10" xfId="42" applyNumberFormat="1" applyFont="1" applyFill="1" applyBorder="1" applyAlignment="1">
      <alignment/>
    </xf>
    <xf numFmtId="170" fontId="0" fillId="0" borderId="68" xfId="0" applyNumberFormat="1" applyFont="1" applyFill="1" applyBorder="1" applyAlignment="1">
      <alignment wrapText="1"/>
    </xf>
    <xf numFmtId="3" fontId="9" fillId="0" borderId="64" xfId="0" applyNumberFormat="1" applyFont="1" applyFill="1" applyBorder="1" applyAlignment="1" applyProtection="1">
      <alignment/>
      <protection hidden="1"/>
    </xf>
    <xf numFmtId="3" fontId="9" fillId="0" borderId="12" xfId="0" applyNumberFormat="1" applyFont="1" applyFill="1" applyBorder="1" applyAlignment="1" applyProtection="1">
      <alignment/>
      <protection hidden="1"/>
    </xf>
    <xf numFmtId="0" fontId="26" fillId="0" borderId="0" xfId="0" applyFont="1" applyAlignment="1">
      <alignment wrapText="1"/>
    </xf>
    <xf numFmtId="192" fontId="0" fillId="0" borderId="49" xfId="0" applyNumberFormat="1" applyFont="1" applyBorder="1" applyAlignment="1">
      <alignment horizontal="left" indent="1"/>
    </xf>
    <xf numFmtId="192" fontId="0" fillId="0" borderId="49" xfId="0" applyNumberFormat="1" applyFont="1" applyFill="1" applyBorder="1" applyAlignment="1">
      <alignment horizontal="left" indent="1"/>
    </xf>
    <xf numFmtId="192" fontId="2" fillId="0" borderId="49" xfId="0" applyNumberFormat="1" applyFont="1" applyBorder="1" applyAlignment="1">
      <alignment horizontal="left"/>
    </xf>
    <xf numFmtId="4" fontId="9" fillId="0" borderId="47" xfId="0" applyNumberFormat="1" applyFont="1" applyFill="1" applyBorder="1" applyAlignment="1">
      <alignment/>
    </xf>
    <xf numFmtId="4" fontId="9" fillId="0" borderId="20" xfId="0" applyNumberFormat="1" applyFont="1" applyFill="1" applyBorder="1" applyAlignment="1">
      <alignment/>
    </xf>
    <xf numFmtId="43" fontId="9" fillId="0" borderId="10" xfId="42" applyFont="1" applyFill="1" applyBorder="1" applyAlignment="1">
      <alignment/>
    </xf>
    <xf numFmtId="0" fontId="9" fillId="0" borderId="10" xfId="0" applyFont="1" applyBorder="1" applyAlignment="1">
      <alignment/>
    </xf>
    <xf numFmtId="0" fontId="9" fillId="0" borderId="10" xfId="0" applyFont="1" applyFill="1" applyBorder="1" applyAlignment="1">
      <alignment/>
    </xf>
    <xf numFmtId="0" fontId="9" fillId="37" borderId="53" xfId="0" applyFont="1" applyFill="1" applyBorder="1" applyAlignment="1">
      <alignment/>
    </xf>
    <xf numFmtId="192" fontId="0" fillId="37" borderId="37" xfId="0" applyNumberFormat="1" applyFont="1" applyFill="1" applyBorder="1" applyAlignment="1">
      <alignment horizontal="left" indent="1"/>
    </xf>
    <xf numFmtId="192" fontId="0" fillId="37" borderId="33" xfId="0" applyNumberFormat="1" applyFont="1" applyFill="1" applyBorder="1" applyAlignment="1">
      <alignment horizontal="left" indent="1"/>
    </xf>
    <xf numFmtId="192" fontId="0" fillId="37" borderId="28" xfId="0" applyNumberFormat="1" applyFont="1" applyFill="1" applyBorder="1" applyAlignment="1">
      <alignment horizontal="left" indent="1"/>
    </xf>
    <xf numFmtId="192" fontId="0" fillId="50" borderId="33" xfId="0" applyNumberFormat="1" applyFont="1" applyFill="1" applyBorder="1" applyAlignment="1">
      <alignment/>
    </xf>
    <xf numFmtId="192" fontId="2" fillId="42" borderId="28" xfId="0" applyNumberFormat="1" applyFont="1" applyFill="1" applyBorder="1" applyAlignment="1">
      <alignment/>
    </xf>
    <xf numFmtId="192" fontId="0" fillId="0" borderId="33" xfId="0" applyNumberFormat="1" applyFont="1" applyFill="1" applyBorder="1" applyAlignment="1">
      <alignment horizontal="left" indent="1"/>
    </xf>
    <xf numFmtId="192" fontId="2" fillId="42" borderId="33" xfId="0" applyNumberFormat="1" applyFont="1" applyFill="1" applyBorder="1" applyAlignment="1">
      <alignment/>
    </xf>
    <xf numFmtId="0" fontId="60" fillId="0" borderId="0" xfId="0" applyFont="1" applyFill="1" applyAlignment="1">
      <alignment/>
    </xf>
    <xf numFmtId="0" fontId="0" fillId="0" borderId="41" xfId="0" applyFont="1" applyFill="1" applyBorder="1" applyAlignment="1">
      <alignment horizontal="left" indent="1"/>
    </xf>
    <xf numFmtId="187" fontId="2" fillId="0" borderId="41" xfId="0" applyNumberFormat="1" applyFont="1" applyFill="1" applyBorder="1" applyAlignment="1">
      <alignment/>
    </xf>
    <xf numFmtId="0" fontId="0" fillId="0" borderId="41" xfId="0" applyFont="1" applyFill="1" applyBorder="1" applyAlignment="1">
      <alignment/>
    </xf>
    <xf numFmtId="43" fontId="0" fillId="0" borderId="41" xfId="42" applyFont="1" applyFill="1" applyBorder="1" applyAlignment="1">
      <alignment/>
    </xf>
    <xf numFmtId="192" fontId="0" fillId="0" borderId="37" xfId="0" applyNumberFormat="1" applyFont="1" applyFill="1" applyBorder="1" applyAlignment="1">
      <alignment horizontal="left" indent="1"/>
    </xf>
    <xf numFmtId="0" fontId="33" fillId="0" borderId="16" xfId="0" applyFont="1" applyFill="1" applyBorder="1" applyAlignment="1">
      <alignment wrapText="1"/>
    </xf>
    <xf numFmtId="0" fontId="25" fillId="0" borderId="0" xfId="0" applyFont="1" applyFill="1" applyAlignment="1">
      <alignment vertical="center"/>
    </xf>
    <xf numFmtId="0" fontId="2" fillId="0" borderId="73" xfId="0" applyFont="1" applyFill="1" applyBorder="1" applyAlignment="1">
      <alignment horizontal="left" indent="1"/>
    </xf>
    <xf numFmtId="192" fontId="2" fillId="0" borderId="73" xfId="0" applyNumberFormat="1" applyFont="1" applyFill="1" applyBorder="1" applyAlignment="1">
      <alignment/>
    </xf>
    <xf numFmtId="192" fontId="2" fillId="0" borderId="49" xfId="0" applyNumberFormat="1" applyFont="1" applyFill="1" applyBorder="1" applyAlignment="1">
      <alignment horizontal="left"/>
    </xf>
    <xf numFmtId="43" fontId="9" fillId="37" borderId="90" xfId="42" applyFont="1" applyFill="1" applyBorder="1" applyAlignment="1">
      <alignment/>
    </xf>
    <xf numFmtId="43" fontId="0" fillId="0" borderId="33" xfId="42" applyFont="1" applyBorder="1" applyAlignment="1">
      <alignment/>
    </xf>
    <xf numFmtId="43" fontId="0" fillId="0" borderId="90" xfId="42" applyFont="1" applyFill="1" applyBorder="1" applyAlignment="1">
      <alignment/>
    </xf>
    <xf numFmtId="0" fontId="55" fillId="0" borderId="0" xfId="0" applyFont="1" applyAlignment="1">
      <alignment/>
    </xf>
    <xf numFmtId="0" fontId="0" fillId="0" borderId="0" xfId="0" applyFont="1" applyFill="1" applyBorder="1" applyAlignment="1">
      <alignment vertical="center" wrapText="1"/>
    </xf>
    <xf numFmtId="43" fontId="0" fillId="0" borderId="56" xfId="42" applyFont="1" applyBorder="1" applyAlignment="1">
      <alignment/>
    </xf>
    <xf numFmtId="43" fontId="0" fillId="0" borderId="20" xfId="42" applyFont="1" applyBorder="1" applyAlignment="1">
      <alignment/>
    </xf>
    <xf numFmtId="43" fontId="0" fillId="0" borderId="86" xfId="42" applyFont="1" applyBorder="1" applyAlignment="1">
      <alignment/>
    </xf>
    <xf numFmtId="0" fontId="2" fillId="0" borderId="0" xfId="0" applyFont="1" applyBorder="1" applyAlignment="1">
      <alignment horizontal="left" indent="1"/>
    </xf>
    <xf numFmtId="0" fontId="2" fillId="38" borderId="90" xfId="0" applyFont="1" applyFill="1" applyBorder="1" applyAlignment="1">
      <alignment horizontal="left" indent="1"/>
    </xf>
    <xf numFmtId="43" fontId="0" fillId="38" borderId="90" xfId="42" applyFont="1" applyFill="1" applyBorder="1" applyAlignment="1">
      <alignment/>
    </xf>
    <xf numFmtId="0" fontId="55" fillId="0" borderId="44" xfId="0" applyFont="1" applyFill="1" applyBorder="1" applyAlignment="1">
      <alignment/>
    </xf>
    <xf numFmtId="0" fontId="55" fillId="38" borderId="0" xfId="0" applyFont="1" applyFill="1" applyAlignment="1">
      <alignment/>
    </xf>
    <xf numFmtId="0" fontId="2" fillId="0" borderId="0" xfId="0" applyFont="1" applyFill="1" applyBorder="1" applyAlignment="1">
      <alignment horizontal="left" indent="2"/>
    </xf>
    <xf numFmtId="43" fontId="0" fillId="0" borderId="0" xfId="0" applyNumberFormat="1" applyAlignment="1">
      <alignment/>
    </xf>
    <xf numFmtId="0" fontId="2" fillId="40" borderId="0" xfId="0" applyFont="1" applyFill="1" applyAlignment="1">
      <alignment wrapText="1"/>
    </xf>
    <xf numFmtId="182" fontId="2" fillId="40" borderId="0" xfId="44" applyNumberFormat="1" applyFont="1" applyFill="1" applyAlignment="1">
      <alignment/>
    </xf>
    <xf numFmtId="0" fontId="2" fillId="40" borderId="0" xfId="0" applyFont="1" applyFill="1" applyAlignment="1">
      <alignment/>
    </xf>
    <xf numFmtId="0" fontId="2" fillId="38" borderId="0" xfId="0" applyFont="1" applyFill="1" applyAlignment="1">
      <alignment/>
    </xf>
    <xf numFmtId="182" fontId="0" fillId="38" borderId="0" xfId="0" applyNumberFormat="1" applyFill="1" applyAlignment="1">
      <alignment/>
    </xf>
    <xf numFmtId="0" fontId="2" fillId="42" borderId="0" xfId="0" applyFont="1" applyFill="1" applyAlignment="1">
      <alignment/>
    </xf>
    <xf numFmtId="182" fontId="2" fillId="42" borderId="0" xfId="0" applyNumberFormat="1" applyFont="1" applyFill="1" applyAlignment="1">
      <alignment/>
    </xf>
    <xf numFmtId="182" fontId="2" fillId="42" borderId="0" xfId="44" applyNumberFormat="1" applyFont="1" applyFill="1" applyAlignment="1">
      <alignment/>
    </xf>
    <xf numFmtId="0" fontId="0" fillId="0" borderId="15" xfId="0" applyBorder="1" applyAlignment="1">
      <alignment wrapText="1"/>
    </xf>
    <xf numFmtId="0" fontId="10" fillId="0" borderId="75" xfId="0" applyFont="1" applyBorder="1" applyAlignment="1">
      <alignment/>
    </xf>
    <xf numFmtId="0" fontId="25" fillId="42" borderId="0" xfId="0" applyFont="1" applyFill="1" applyAlignment="1">
      <alignment horizontal="center" vertical="center" wrapText="1"/>
    </xf>
    <xf numFmtId="0" fontId="45" fillId="42" borderId="0" xfId="0" applyFont="1" applyFill="1" applyAlignment="1">
      <alignment horizontal="center"/>
    </xf>
    <xf numFmtId="0" fontId="6" fillId="0" borderId="34" xfId="0" applyFont="1" applyBorder="1" applyAlignment="1">
      <alignment horizontal="center" vertical="center" wrapText="1"/>
    </xf>
    <xf numFmtId="0" fontId="6" fillId="0" borderId="77" xfId="0" applyFont="1" applyBorder="1" applyAlignment="1">
      <alignment horizontal="center" vertical="center" wrapText="1"/>
    </xf>
    <xf numFmtId="178" fontId="55" fillId="0" borderId="131" xfId="42" applyNumberFormat="1" applyFont="1" applyFill="1" applyBorder="1" applyAlignment="1">
      <alignment horizontal="center"/>
    </xf>
    <xf numFmtId="178" fontId="55" fillId="0" borderId="132" xfId="42" applyNumberFormat="1" applyFont="1" applyFill="1" applyBorder="1" applyAlignment="1">
      <alignment horizontal="center"/>
    </xf>
    <xf numFmtId="178" fontId="55" fillId="0" borderId="133" xfId="42" applyNumberFormat="1" applyFont="1" applyFill="1" applyBorder="1" applyAlignment="1">
      <alignment horizontal="center"/>
    </xf>
    <xf numFmtId="0" fontId="55" fillId="0" borderId="0" xfId="0" applyFont="1" applyAlignment="1">
      <alignment horizontal="left" wrapText="1"/>
    </xf>
    <xf numFmtId="0" fontId="33" fillId="0" borderId="41" xfId="0" applyFont="1" applyFill="1" applyBorder="1" applyAlignment="1">
      <alignment horizontal="left" vertical="center" wrapText="1"/>
    </xf>
    <xf numFmtId="0" fontId="0" fillId="0" borderId="41" xfId="0" applyBorder="1" applyAlignment="1">
      <alignment vertical="center" wrapText="1"/>
    </xf>
    <xf numFmtId="0" fontId="38" fillId="0" borderId="0" xfId="0" applyFont="1" applyAlignment="1">
      <alignment horizontal="left" wrapText="1"/>
    </xf>
    <xf numFmtId="3" fontId="0" fillId="0" borderId="0" xfId="0" applyNumberFormat="1" applyAlignment="1">
      <alignment horizontal="center" wrapText="1"/>
    </xf>
    <xf numFmtId="0" fontId="0" fillId="0" borderId="0" xfId="0" applyAlignment="1">
      <alignment/>
    </xf>
    <xf numFmtId="0" fontId="0" fillId="0" borderId="35" xfId="0" applyBorder="1" applyAlignment="1">
      <alignment/>
    </xf>
    <xf numFmtId="0" fontId="12" fillId="40" borderId="107" xfId="0" applyFont="1" applyFill="1" applyBorder="1" applyAlignment="1" applyProtection="1">
      <alignment horizontal="left"/>
      <protection locked="0"/>
    </xf>
    <xf numFmtId="0" fontId="12" fillId="40" borderId="43" xfId="0" applyFont="1" applyFill="1" applyBorder="1" applyAlignment="1" applyProtection="1">
      <alignment horizontal="left"/>
      <protection locked="0"/>
    </xf>
    <xf numFmtId="0" fontId="22" fillId="47" borderId="134" xfId="0" applyFont="1" applyFill="1" applyBorder="1" applyAlignment="1" applyProtection="1">
      <alignment horizontal="left"/>
      <protection locked="0"/>
    </xf>
    <xf numFmtId="0" fontId="22" fillId="47" borderId="28" xfId="0" applyFont="1" applyFill="1" applyBorder="1" applyAlignment="1" applyProtection="1">
      <alignment horizontal="left"/>
      <protection locked="0"/>
    </xf>
    <xf numFmtId="0" fontId="26" fillId="0" borderId="69" xfId="0" applyFont="1" applyBorder="1" applyAlignment="1">
      <alignment horizontal="center" vertical="center" wrapText="1"/>
    </xf>
    <xf numFmtId="0" fontId="26" fillId="0" borderId="23" xfId="0" applyFont="1" applyBorder="1" applyAlignment="1">
      <alignment horizontal="center" vertical="center" wrapText="1"/>
    </xf>
    <xf numFmtId="0" fontId="12" fillId="40" borderId="103" xfId="0" applyFont="1" applyFill="1" applyBorder="1" applyAlignment="1" applyProtection="1">
      <alignment horizontal="left"/>
      <protection locked="0"/>
    </xf>
    <xf numFmtId="0" fontId="12" fillId="40" borderId="42" xfId="0" applyFont="1" applyFill="1" applyBorder="1" applyAlignment="1" applyProtection="1">
      <alignment horizontal="left"/>
      <protection locked="0"/>
    </xf>
    <xf numFmtId="0" fontId="12" fillId="40" borderId="98" xfId="0" applyFont="1" applyFill="1" applyBorder="1" applyAlignment="1" applyProtection="1">
      <alignment horizontal="left"/>
      <protection locked="0"/>
    </xf>
    <xf numFmtId="0" fontId="12" fillId="40" borderId="45" xfId="0" applyFont="1" applyFill="1" applyBorder="1" applyAlignment="1" applyProtection="1">
      <alignment horizontal="left"/>
      <protection locked="0"/>
    </xf>
    <xf numFmtId="0" fontId="6" fillId="45" borderId="69" xfId="0" applyFont="1" applyFill="1" applyBorder="1" applyAlignment="1">
      <alignment horizontal="center" wrapText="1"/>
    </xf>
    <xf numFmtId="0" fontId="6" fillId="45" borderId="23" xfId="0" applyFont="1" applyFill="1" applyBorder="1" applyAlignment="1">
      <alignment horizontal="center" wrapText="1"/>
    </xf>
    <xf numFmtId="3" fontId="6" fillId="48" borderId="69" xfId="0" applyNumberFormat="1" applyFont="1" applyFill="1" applyBorder="1" applyAlignment="1">
      <alignment horizontal="center" vertical="center" wrapText="1"/>
    </xf>
    <xf numFmtId="3" fontId="6" fillId="48" borderId="72" xfId="0" applyNumberFormat="1" applyFont="1" applyFill="1" applyBorder="1" applyAlignment="1">
      <alignment horizontal="center" vertical="center" wrapText="1"/>
    </xf>
    <xf numFmtId="3" fontId="6" fillId="48" borderId="23" xfId="0" applyNumberFormat="1" applyFont="1" applyFill="1" applyBorder="1" applyAlignment="1">
      <alignment horizontal="center" vertical="center" wrapText="1"/>
    </xf>
    <xf numFmtId="0" fontId="6" fillId="42" borderId="123" xfId="0" applyFont="1" applyFill="1" applyBorder="1" applyAlignment="1">
      <alignment horizontal="left" wrapText="1"/>
    </xf>
    <xf numFmtId="0" fontId="6" fillId="42" borderId="135" xfId="0" applyFont="1" applyFill="1" applyBorder="1" applyAlignment="1">
      <alignment horizontal="left" wrapText="1"/>
    </xf>
    <xf numFmtId="0" fontId="23" fillId="0" borderId="69" xfId="0" applyFont="1" applyBorder="1" applyAlignment="1">
      <alignment horizontal="center" vertical="center" wrapText="1"/>
    </xf>
    <xf numFmtId="0" fontId="23" fillId="0" borderId="23" xfId="0" applyFont="1" applyBorder="1" applyAlignment="1">
      <alignment horizontal="center" vertical="center" wrapText="1"/>
    </xf>
    <xf numFmtId="0" fontId="6" fillId="45" borderId="69" xfId="0" applyFont="1" applyFill="1" applyBorder="1" applyAlignment="1">
      <alignment horizontal="center" vertical="center" wrapText="1"/>
    </xf>
    <xf numFmtId="0" fontId="6" fillId="45" borderId="23" xfId="0" applyFont="1" applyFill="1" applyBorder="1" applyAlignment="1">
      <alignment horizontal="center" vertical="center" wrapText="1"/>
    </xf>
    <xf numFmtId="0" fontId="1" fillId="45" borderId="136" xfId="0" applyFont="1" applyFill="1" applyBorder="1" applyAlignment="1" applyProtection="1">
      <alignment horizontal="left" wrapText="1"/>
      <protection/>
    </xf>
    <xf numFmtId="0" fontId="1" fillId="45" borderId="137" xfId="0" applyFont="1" applyFill="1" applyBorder="1" applyAlignment="1" applyProtection="1">
      <alignment horizontal="left" wrapText="1"/>
      <protection/>
    </xf>
    <xf numFmtId="0" fontId="56" fillId="42" borderId="98" xfId="0" applyFont="1" applyFill="1" applyBorder="1" applyAlignment="1" applyProtection="1">
      <alignment horizontal="left"/>
      <protection locked="0"/>
    </xf>
    <xf numFmtId="0" fontId="56" fillId="42" borderId="45" xfId="0" applyFont="1" applyFill="1" applyBorder="1" applyAlignment="1" applyProtection="1">
      <alignment horizontal="left"/>
      <protection locked="0"/>
    </xf>
    <xf numFmtId="0" fontId="6" fillId="36" borderId="69" xfId="0" applyFont="1" applyFill="1" applyBorder="1" applyAlignment="1">
      <alignment horizontal="center" vertical="center" wrapText="1"/>
    </xf>
    <xf numFmtId="0" fontId="6" fillId="36" borderId="72"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1" fillId="0" borderId="35" xfId="0" applyFont="1" applyBorder="1" applyAlignment="1">
      <alignment horizontal="center" vertical="center" wrapText="1"/>
    </xf>
    <xf numFmtId="3" fontId="10" fillId="53" borderId="69" xfId="0" applyNumberFormat="1" applyFont="1" applyFill="1" applyBorder="1" applyAlignment="1">
      <alignment horizontal="center" vertical="center" wrapText="1"/>
    </xf>
    <xf numFmtId="3" fontId="10" fillId="53" borderId="72" xfId="0" applyNumberFormat="1" applyFont="1" applyFill="1" applyBorder="1" applyAlignment="1">
      <alignment horizontal="center" vertical="center" wrapText="1"/>
    </xf>
    <xf numFmtId="3" fontId="10" fillId="53" borderId="23" xfId="0" applyNumberFormat="1" applyFont="1" applyFill="1" applyBorder="1" applyAlignment="1">
      <alignment horizontal="center" vertical="center" wrapText="1"/>
    </xf>
    <xf numFmtId="0" fontId="61" fillId="0" borderId="0" xfId="0" applyFont="1" applyAlignment="1">
      <alignment wrapText="1"/>
    </xf>
    <xf numFmtId="0" fontId="0" fillId="0" borderId="0" xfId="0" applyAlignment="1">
      <alignment/>
    </xf>
    <xf numFmtId="0" fontId="10" fillId="0" borderId="0" xfId="0" applyFont="1" applyAlignment="1">
      <alignment wrapText="1"/>
    </xf>
    <xf numFmtId="0" fontId="0" fillId="0" borderId="0" xfId="0" applyAlignment="1">
      <alignment wrapText="1"/>
    </xf>
    <xf numFmtId="0" fontId="1" fillId="0" borderId="35" xfId="0" applyFont="1" applyFill="1" applyBorder="1" applyAlignment="1">
      <alignment vertical="center"/>
    </xf>
    <xf numFmtId="0" fontId="0" fillId="0" borderId="35" xfId="0" applyBorder="1" applyAlignment="1">
      <alignment/>
    </xf>
    <xf numFmtId="0" fontId="11" fillId="0" borderId="80" xfId="0" applyFont="1" applyFill="1" applyBorder="1" applyAlignment="1">
      <alignment horizontal="left" vertical="center" wrapText="1"/>
    </xf>
    <xf numFmtId="0" fontId="0" fillId="0" borderId="44" xfId="0" applyFont="1" applyBorder="1" applyAlignment="1">
      <alignment vertical="center" wrapText="1"/>
    </xf>
    <xf numFmtId="0" fontId="0" fillId="0" borderId="0" xfId="0" applyAlignment="1">
      <alignment vertical="center" wrapText="1"/>
    </xf>
    <xf numFmtId="0" fontId="0" fillId="0" borderId="0" xfId="0" applyFont="1" applyFill="1" applyBorder="1" applyAlignment="1">
      <alignment vertical="center" wrapText="1"/>
    </xf>
    <xf numFmtId="0" fontId="0" fillId="0" borderId="44" xfId="0" applyFill="1" applyBorder="1" applyAlignment="1">
      <alignment vertical="center" wrapText="1"/>
    </xf>
    <xf numFmtId="0" fontId="0" fillId="0" borderId="35" xfId="0" applyBorder="1" applyAlignment="1">
      <alignment vertical="center" wrapText="1"/>
    </xf>
    <xf numFmtId="0" fontId="0" fillId="0" borderId="138" xfId="0" applyFont="1" applyBorder="1" applyAlignment="1">
      <alignment vertical="center" wrapText="1"/>
    </xf>
    <xf numFmtId="0" fontId="0" fillId="0" borderId="138" xfId="0"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horizontal="left" vertical="center" wrapText="1"/>
    </xf>
  </cellXfs>
  <cellStyles count="51">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mphasis 1" xfId="46"/>
    <cellStyle name="Emphasis 2" xfId="47"/>
    <cellStyle name="Emphasis 3"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heet 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Distribution of Buffer Income</a:t>
            </a:r>
          </a:p>
        </c:rich>
      </c:tx>
      <c:layout>
        <c:manualLayout>
          <c:xMode val="factor"/>
          <c:yMode val="factor"/>
          <c:x val="0.0015"/>
          <c:y val="-0.0025"/>
        </c:manualLayout>
      </c:layout>
      <c:spPr>
        <a:noFill/>
        <a:ln>
          <a:noFill/>
        </a:ln>
      </c:spPr>
    </c:title>
    <c:plotArea>
      <c:layout>
        <c:manualLayout>
          <c:xMode val="edge"/>
          <c:yMode val="edge"/>
          <c:x val="0.39025"/>
          <c:y val="0.2445"/>
          <c:w val="0.22075"/>
          <c:h val="0.338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'Buffer Builder'!$A$102:$A$111</c:f>
              <c:strCache>
                <c:ptCount val="10"/>
                <c:pt idx="0">
                  <c:v>  Installation Cost Share Payment</c:v>
                </c:pt>
                <c:pt idx="1">
                  <c:v>  Maintenance Cost Share Payment</c:v>
                </c:pt>
                <c:pt idx="2">
                  <c:v>  Land Rental Cost Share Payment</c:v>
                </c:pt>
                <c:pt idx="3">
                  <c:v>  Sign-Up or other one-time bonus</c:v>
                </c:pt>
                <c:pt idx="4">
                  <c:v>  Hay income</c:v>
                </c:pt>
                <c:pt idx="5">
                  <c:v>  Grass silage income</c:v>
                </c:pt>
                <c:pt idx="6">
                  <c:v>  Timber thinning income </c:v>
                </c:pt>
                <c:pt idx="7">
                  <c:v>  Timber harvest income (stumpage)</c:v>
                </c:pt>
                <c:pt idx="8">
                  <c:v>  Other Income #1</c:v>
                </c:pt>
                <c:pt idx="9">
                  <c:v>  Other Income #2</c:v>
                </c:pt>
              </c:strCache>
            </c:strRef>
          </c:cat>
          <c:val>
            <c:numRef>
              <c:f>'Buffer Builder'!$D$102:$D$111</c:f>
              <c:numCache>
                <c:ptCount val="10"/>
                <c:pt idx="0">
                  <c:v>0.36036037322068115</c:v>
                </c:pt>
                <c:pt idx="1">
                  <c:v>0.2504825168664411</c:v>
                </c:pt>
                <c:pt idx="2">
                  <c:v>0.38915710991287783</c:v>
                </c:pt>
                <c:pt idx="3">
                  <c:v>0</c:v>
                </c:pt>
                <c:pt idx="4">
                  <c:v>0</c:v>
                </c:pt>
                <c:pt idx="5">
                  <c:v>0</c:v>
                </c:pt>
                <c:pt idx="6">
                  <c:v>0</c:v>
                </c:pt>
                <c:pt idx="7">
                  <c:v>0</c:v>
                </c:pt>
                <c:pt idx="8">
                  <c:v>0</c:v>
                </c:pt>
                <c:pt idx="9">
                  <c:v>0</c:v>
                </c:pt>
              </c:numCache>
            </c:numRef>
          </c:val>
        </c:ser>
      </c:pieChart>
      <c:spPr>
        <a:noFill/>
        <a:ln>
          <a:noFill/>
        </a:ln>
      </c:spPr>
    </c:plotArea>
    <c:legend>
      <c:legendPos val="b"/>
      <c:layout>
        <c:manualLayout>
          <c:xMode val="edge"/>
          <c:yMode val="edge"/>
          <c:x val="0.09575"/>
          <c:y val="0.71075"/>
          <c:w val="0.80525"/>
          <c:h val="0.281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Distribution of Buffer Cost</a:t>
            </a:r>
          </a:p>
        </c:rich>
      </c:tx>
      <c:layout>
        <c:manualLayout>
          <c:xMode val="factor"/>
          <c:yMode val="factor"/>
          <c:x val="0.18925"/>
          <c:y val="0.014"/>
        </c:manualLayout>
      </c:layout>
      <c:spPr>
        <a:noFill/>
        <a:ln>
          <a:noFill/>
        </a:ln>
      </c:spPr>
    </c:title>
    <c:plotArea>
      <c:layout>
        <c:manualLayout>
          <c:xMode val="edge"/>
          <c:yMode val="edge"/>
          <c:x val="0.15225"/>
          <c:y val="0.055"/>
          <c:w val="0.219"/>
          <c:h val="0.394"/>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Pt>
            <c:idx val="15"/>
            <c:spPr>
              <a:solidFill>
                <a:srgbClr val="0000FF"/>
              </a:solidFill>
              <a:ln w="12700">
                <a:solidFill>
                  <a:srgbClr val="000000"/>
                </a:solidFill>
              </a:ln>
            </c:spPr>
          </c:dPt>
          <c:dPt>
            <c:idx val="16"/>
            <c:spPr>
              <a:solidFill>
                <a:srgbClr val="00CCFF"/>
              </a:solidFill>
              <a:ln w="12700">
                <a:solidFill>
                  <a:srgbClr val="000000"/>
                </a:solidFill>
              </a:ln>
            </c:spPr>
          </c:dPt>
          <c:dPt>
            <c:idx val="17"/>
            <c:spPr>
              <a:solidFill>
                <a:srgbClr val="CCFFFF"/>
              </a:solidFill>
              <a:ln w="12700">
                <a:solidFill>
                  <a:srgbClr val="000000"/>
                </a:solidFill>
              </a:ln>
            </c:spPr>
          </c:dPt>
          <c:dPt>
            <c:idx val="18"/>
            <c:spPr>
              <a:solidFill>
                <a:srgbClr val="CCFFCC"/>
              </a:solidFill>
              <a:ln w="12700">
                <a:solidFill>
                  <a:srgbClr val="000000"/>
                </a:solidFill>
              </a:ln>
            </c:spPr>
          </c:dPt>
          <c:dPt>
            <c:idx val="19"/>
            <c:spPr>
              <a:solidFill>
                <a:srgbClr val="FFFF99"/>
              </a:solidFill>
              <a:ln w="12700">
                <a:solidFill>
                  <a:srgbClr val="000000"/>
                </a:solidFill>
              </a:ln>
            </c:spPr>
          </c:dPt>
          <c:dPt>
            <c:idx val="20"/>
            <c:spPr>
              <a:solidFill>
                <a:srgbClr val="99CCFF"/>
              </a:solidFill>
              <a:ln w="12700">
                <a:solidFill>
                  <a:srgbClr val="000000"/>
                </a:solidFill>
              </a:ln>
            </c:spPr>
          </c:dPt>
          <c:dPt>
            <c:idx val="21"/>
            <c:spPr>
              <a:solidFill>
                <a:srgbClr val="FF99CC"/>
              </a:solidFill>
              <a:ln w="12700">
                <a:solidFill>
                  <a:srgbClr val="000000"/>
                </a:solidFill>
              </a:ln>
            </c:spPr>
          </c:dPt>
          <c:dPt>
            <c:idx val="22"/>
            <c:spPr>
              <a:solidFill>
                <a:srgbClr val="CC99FF"/>
              </a:solidFill>
              <a:ln w="12700">
                <a:solidFill>
                  <a:srgbClr val="000000"/>
                </a:solidFill>
              </a:ln>
            </c:spPr>
          </c:dPt>
          <c:dPt>
            <c:idx val="23"/>
            <c:spPr>
              <a:solidFill>
                <a:srgbClr val="FFCC99"/>
              </a:solidFill>
              <a:ln w="12700">
                <a:solidFill>
                  <a:srgbClr val="000000"/>
                </a:solidFill>
              </a:ln>
            </c:spPr>
          </c:dPt>
          <c:dPt>
            <c:idx val="24"/>
            <c:spPr>
              <a:solidFill>
                <a:srgbClr val="3366FF"/>
              </a:solidFill>
              <a:ln w="12700">
                <a:solidFill>
                  <a:srgbClr val="000000"/>
                </a:solidFill>
              </a:ln>
            </c:spPr>
          </c:dPt>
          <c:dLbls>
            <c:dLbl>
              <c:idx val="0"/>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0"/>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1"/>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2"/>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3"/>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4"/>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5"/>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6"/>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7"/>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8"/>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9"/>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0"/>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1"/>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2"/>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3"/>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4"/>
              <c:txPr>
                <a:bodyPr vert="horz" rot="0" anchor="ctr"/>
                <a:lstStyle/>
                <a:p>
                  <a:pPr algn="ctr" rtl="1">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('Buffer Builder'!$A$116:$A$126,'Buffer Builder'!$A$129:$A$142)</c:f>
              <c:strCache>
                <c:ptCount val="25"/>
                <c:pt idx="0">
                  <c:v>  Survey and Stake buffer area</c:v>
                </c:pt>
                <c:pt idx="1">
                  <c:v>  Site Preparation </c:v>
                </c:pt>
                <c:pt idx="2">
                  <c:v>  Tillage Costs (buffer estab. Only)</c:v>
                </c:pt>
                <c:pt idx="3">
                  <c:v>  Grass Filter strip installation</c:v>
                </c:pt>
                <c:pt idx="4">
                  <c:v>  Fertilizer (initial establishment of hay and grass buffers)</c:v>
                </c:pt>
                <c:pt idx="5">
                  <c:v>  Seed (hay and grass silage)</c:v>
                </c:pt>
                <c:pt idx="6">
                  <c:v>  Tree/shrub Seedling &amp; Planting</c:v>
                </c:pt>
                <c:pt idx="7">
                  <c:v>  Seedling/shrub protectors + installation</c:v>
                </c:pt>
                <c:pt idx="8">
                  <c:v>  Re-planting trees/shrubs</c:v>
                </c:pt>
                <c:pt idx="9">
                  <c:v>  Fencing + installation (incl. Gates)</c:v>
                </c:pt>
                <c:pt idx="10">
                  <c:v>  Other Cost(s)</c:v>
                </c:pt>
                <c:pt idx="11">
                  <c:v>  Mowing (grass)</c:v>
                </c:pt>
                <c:pt idx="12">
                  <c:v>  Weed Control </c:v>
                </c:pt>
                <c:pt idx="13">
                  <c:v>  Seed (hay and grass silage)</c:v>
                </c:pt>
                <c:pt idx="14">
                  <c:v>  Tillage costs (ongoing)</c:v>
                </c:pt>
                <c:pt idx="15">
                  <c:v>  Fertilizer</c:v>
                </c:pt>
                <c:pt idx="16">
                  <c:v>  Fence Repair &amp; Maintenance</c:v>
                </c:pt>
                <c:pt idx="17">
                  <c:v>  Thinning (trees)</c:v>
                </c:pt>
                <c:pt idx="18">
                  <c:v>  First Pruning (trees)</c:v>
                </c:pt>
                <c:pt idx="19">
                  <c:v>  Second Pruning (trees)</c:v>
                </c:pt>
                <c:pt idx="20">
                  <c:v>  Harvest (hay, grass silage, timber)</c:v>
                </c:pt>
                <c:pt idx="21">
                  <c:v>  Hauling (timber)</c:v>
                </c:pt>
                <c:pt idx="22">
                  <c:v>  Foregone income from the buffer area (acres occupied by buffer x net income loss per acre)</c:v>
                </c:pt>
                <c:pt idx="23">
                  <c:v>  Foregone income from land made spatially unviable by buffer</c:v>
                </c:pt>
                <c:pt idx="24">
                  <c:v>  Other Cost(s)</c:v>
                </c:pt>
              </c:strCache>
            </c:strRef>
          </c:cat>
          <c:val>
            <c:numRef>
              <c:f>('Buffer Builder'!$D$116:$D$126,'Buffer Builder'!$D$129:$D$142)</c:f>
              <c:numCache>
                <c:ptCount val="25"/>
                <c:pt idx="0">
                  <c:v>0</c:v>
                </c:pt>
                <c:pt idx="1">
                  <c:v>0.04540592581578475</c:v>
                </c:pt>
                <c:pt idx="2">
                  <c:v>0</c:v>
                </c:pt>
                <c:pt idx="3">
                  <c:v>0</c:v>
                </c:pt>
                <c:pt idx="4">
                  <c:v>0</c:v>
                </c:pt>
                <c:pt idx="5">
                  <c:v>0</c:v>
                </c:pt>
                <c:pt idx="6">
                  <c:v>0.0507477994411712</c:v>
                </c:pt>
                <c:pt idx="7">
                  <c:v>0.03034184219219499</c:v>
                </c:pt>
                <c:pt idx="8">
                  <c:v>0.00469191932703136</c:v>
                </c:pt>
                <c:pt idx="9">
                  <c:v>0</c:v>
                </c:pt>
                <c:pt idx="10">
                  <c:v>0</c:v>
                </c:pt>
                <c:pt idx="11">
                  <c:v>0</c:v>
                </c:pt>
                <c:pt idx="12">
                  <c:v>0.08323375303236662</c:v>
                </c:pt>
                <c:pt idx="13">
                  <c:v>0</c:v>
                </c:pt>
                <c:pt idx="14">
                  <c:v>0</c:v>
                </c:pt>
                <c:pt idx="15">
                  <c:v>0</c:v>
                </c:pt>
                <c:pt idx="16">
                  <c:v>0</c:v>
                </c:pt>
                <c:pt idx="17">
                  <c:v>0</c:v>
                </c:pt>
                <c:pt idx="18">
                  <c:v>0</c:v>
                </c:pt>
                <c:pt idx="19">
                  <c:v>0</c:v>
                </c:pt>
                <c:pt idx="20">
                  <c:v>0</c:v>
                </c:pt>
                <c:pt idx="21">
                  <c:v>0</c:v>
                </c:pt>
                <c:pt idx="22">
                  <c:v>0.7855787601914511</c:v>
                </c:pt>
                <c:pt idx="23">
                  <c:v>0</c:v>
                </c:pt>
                <c:pt idx="24">
                  <c:v>0</c:v>
                </c:pt>
              </c:numCache>
            </c:numRef>
          </c:val>
        </c:ser>
        <c:firstSliceAng val="50"/>
      </c:pieChart>
      <c:spPr>
        <a:noFill/>
        <a:ln>
          <a:noFill/>
        </a:ln>
      </c:spPr>
    </c:plotArea>
    <c:legend>
      <c:legendPos val="b"/>
      <c:layout>
        <c:manualLayout>
          <c:xMode val="edge"/>
          <c:yMode val="edge"/>
          <c:x val="0.0035"/>
          <c:y val="0.6085"/>
          <c:w val="0.97575"/>
          <c:h val="0.391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152400</xdr:rowOff>
    </xdr:from>
    <xdr:to>
      <xdr:col>4</xdr:col>
      <xdr:colOff>571500</xdr:colOff>
      <xdr:row>10</xdr:row>
      <xdr:rowOff>152400</xdr:rowOff>
    </xdr:to>
    <xdr:sp>
      <xdr:nvSpPr>
        <xdr:cNvPr id="1" name="Line 3"/>
        <xdr:cNvSpPr>
          <a:spLocks/>
        </xdr:cNvSpPr>
      </xdr:nvSpPr>
      <xdr:spPr>
        <a:xfrm>
          <a:off x="133350" y="3371850"/>
          <a:ext cx="5572125" cy="0"/>
        </a:xfrm>
        <a:prstGeom prst="line">
          <a:avLst/>
        </a:prstGeom>
        <a:noFill/>
        <a:ln w="444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209550</xdr:colOff>
      <xdr:row>22</xdr:row>
      <xdr:rowOff>76200</xdr:rowOff>
    </xdr:from>
    <xdr:to>
      <xdr:col>5</xdr:col>
      <xdr:colOff>238125</xdr:colOff>
      <xdr:row>43</xdr:row>
      <xdr:rowOff>0</xdr:rowOff>
    </xdr:to>
    <xdr:graphicFrame>
      <xdr:nvGraphicFramePr>
        <xdr:cNvPr id="2" name="Chart 12"/>
        <xdr:cNvGraphicFramePr/>
      </xdr:nvGraphicFramePr>
      <xdr:xfrm>
        <a:off x="209550" y="6496050"/>
        <a:ext cx="5962650" cy="3914775"/>
      </xdr:xfrm>
      <a:graphic>
        <a:graphicData uri="http://schemas.openxmlformats.org/drawingml/2006/chart">
          <c:chart xmlns:c="http://schemas.openxmlformats.org/drawingml/2006/chart" r:id="rId1"/>
        </a:graphicData>
      </a:graphic>
    </xdr:graphicFrame>
    <xdr:clientData/>
  </xdr:twoCellAnchor>
  <xdr:twoCellAnchor>
    <xdr:from>
      <xdr:col>7</xdr:col>
      <xdr:colOff>209550</xdr:colOff>
      <xdr:row>0</xdr:row>
      <xdr:rowOff>9525</xdr:rowOff>
    </xdr:from>
    <xdr:to>
      <xdr:col>29</xdr:col>
      <xdr:colOff>238125</xdr:colOff>
      <xdr:row>27</xdr:row>
      <xdr:rowOff>38100</xdr:rowOff>
    </xdr:to>
    <xdr:graphicFrame>
      <xdr:nvGraphicFramePr>
        <xdr:cNvPr id="3" name="Chart 13"/>
        <xdr:cNvGraphicFramePr/>
      </xdr:nvGraphicFramePr>
      <xdr:xfrm>
        <a:off x="12715875" y="9525"/>
        <a:ext cx="13439775" cy="75152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4</xdr:row>
      <xdr:rowOff>47625</xdr:rowOff>
    </xdr:from>
    <xdr:to>
      <xdr:col>6</xdr:col>
      <xdr:colOff>1619250</xdr:colOff>
      <xdr:row>4</xdr:row>
      <xdr:rowOff>409575</xdr:rowOff>
    </xdr:to>
    <xdr:pic>
      <xdr:nvPicPr>
        <xdr:cNvPr id="1" name="CommandButton2"/>
        <xdr:cNvPicPr preferRelativeResize="1">
          <a:picLocks noChangeAspect="1"/>
        </xdr:cNvPicPr>
      </xdr:nvPicPr>
      <xdr:blipFill>
        <a:blip r:embed="rId1"/>
        <a:stretch>
          <a:fillRect/>
        </a:stretch>
      </xdr:blipFill>
      <xdr:spPr>
        <a:xfrm>
          <a:off x="6734175" y="542925"/>
          <a:ext cx="1428750" cy="361950"/>
        </a:xfrm>
        <a:prstGeom prst="rect">
          <a:avLst/>
        </a:prstGeom>
        <a:noFill/>
        <a:ln w="9525" cmpd="sng">
          <a:noFill/>
        </a:ln>
      </xdr:spPr>
    </xdr:pic>
    <xdr:clientData/>
  </xdr:twoCellAnchor>
  <xdr:twoCellAnchor editAs="oneCell">
    <xdr:from>
      <xdr:col>6</xdr:col>
      <xdr:colOff>190500</xdr:colOff>
      <xdr:row>4</xdr:row>
      <xdr:rowOff>495300</xdr:rowOff>
    </xdr:from>
    <xdr:to>
      <xdr:col>6</xdr:col>
      <xdr:colOff>1619250</xdr:colOff>
      <xdr:row>4</xdr:row>
      <xdr:rowOff>857250</xdr:rowOff>
    </xdr:to>
    <xdr:pic>
      <xdr:nvPicPr>
        <xdr:cNvPr id="2" name="CommandButton1"/>
        <xdr:cNvPicPr preferRelativeResize="1">
          <a:picLocks noChangeAspect="1"/>
        </xdr:cNvPicPr>
      </xdr:nvPicPr>
      <xdr:blipFill>
        <a:blip r:embed="rId2"/>
        <a:stretch>
          <a:fillRect/>
        </a:stretch>
      </xdr:blipFill>
      <xdr:spPr>
        <a:xfrm>
          <a:off x="6734175" y="990600"/>
          <a:ext cx="142875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609600</xdr:colOff>
      <xdr:row>2</xdr:row>
      <xdr:rowOff>171450</xdr:rowOff>
    </xdr:from>
    <xdr:to>
      <xdr:col>7</xdr:col>
      <xdr:colOff>9525</xdr:colOff>
      <xdr:row>4</xdr:row>
      <xdr:rowOff>38100</xdr:rowOff>
    </xdr:to>
    <xdr:pic>
      <xdr:nvPicPr>
        <xdr:cNvPr id="1" name="CommandButton1"/>
        <xdr:cNvPicPr preferRelativeResize="1">
          <a:picLocks noChangeAspect="1"/>
        </xdr:cNvPicPr>
      </xdr:nvPicPr>
      <xdr:blipFill>
        <a:blip r:embed="rId1"/>
        <a:stretch>
          <a:fillRect/>
        </a:stretch>
      </xdr:blipFill>
      <xdr:spPr>
        <a:xfrm>
          <a:off x="6457950" y="171450"/>
          <a:ext cx="1428750" cy="361950"/>
        </a:xfrm>
        <a:prstGeom prst="rect">
          <a:avLst/>
        </a:prstGeom>
        <a:noFill/>
        <a:ln w="9525" cmpd="sng">
          <a:noFill/>
        </a:ln>
      </xdr:spPr>
    </xdr:pic>
    <xdr:clientData/>
  </xdr:twoCellAnchor>
  <xdr:twoCellAnchor editAs="oneCell">
    <xdr:from>
      <xdr:col>5</xdr:col>
      <xdr:colOff>600075</xdr:colOff>
      <xdr:row>4</xdr:row>
      <xdr:rowOff>47625</xdr:rowOff>
    </xdr:from>
    <xdr:to>
      <xdr:col>7</xdr:col>
      <xdr:colOff>0</xdr:colOff>
      <xdr:row>5</xdr:row>
      <xdr:rowOff>104775</xdr:rowOff>
    </xdr:to>
    <xdr:pic>
      <xdr:nvPicPr>
        <xdr:cNvPr id="2" name="CommandButton2"/>
        <xdr:cNvPicPr preferRelativeResize="1">
          <a:picLocks noChangeAspect="1"/>
        </xdr:cNvPicPr>
      </xdr:nvPicPr>
      <xdr:blipFill>
        <a:blip r:embed="rId2"/>
        <a:stretch>
          <a:fillRect/>
        </a:stretch>
      </xdr:blipFill>
      <xdr:spPr>
        <a:xfrm>
          <a:off x="6448425" y="542925"/>
          <a:ext cx="14287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609600</xdr:colOff>
      <xdr:row>2</xdr:row>
      <xdr:rowOff>171450</xdr:rowOff>
    </xdr:from>
    <xdr:to>
      <xdr:col>7</xdr:col>
      <xdr:colOff>9525</xdr:colOff>
      <xdr:row>4</xdr:row>
      <xdr:rowOff>38100</xdr:rowOff>
    </xdr:to>
    <xdr:pic>
      <xdr:nvPicPr>
        <xdr:cNvPr id="1" name="CommandButton1"/>
        <xdr:cNvPicPr preferRelativeResize="1">
          <a:picLocks noChangeAspect="1"/>
        </xdr:cNvPicPr>
      </xdr:nvPicPr>
      <xdr:blipFill>
        <a:blip r:embed="rId1"/>
        <a:stretch>
          <a:fillRect/>
        </a:stretch>
      </xdr:blipFill>
      <xdr:spPr>
        <a:xfrm>
          <a:off x="6581775" y="171450"/>
          <a:ext cx="1428750" cy="361950"/>
        </a:xfrm>
        <a:prstGeom prst="rect">
          <a:avLst/>
        </a:prstGeom>
        <a:noFill/>
        <a:ln w="9525" cmpd="sng">
          <a:noFill/>
        </a:ln>
      </xdr:spPr>
    </xdr:pic>
    <xdr:clientData/>
  </xdr:twoCellAnchor>
  <xdr:twoCellAnchor editAs="oneCell">
    <xdr:from>
      <xdr:col>5</xdr:col>
      <xdr:colOff>600075</xdr:colOff>
      <xdr:row>4</xdr:row>
      <xdr:rowOff>47625</xdr:rowOff>
    </xdr:from>
    <xdr:to>
      <xdr:col>7</xdr:col>
      <xdr:colOff>0</xdr:colOff>
      <xdr:row>5</xdr:row>
      <xdr:rowOff>104775</xdr:rowOff>
    </xdr:to>
    <xdr:pic>
      <xdr:nvPicPr>
        <xdr:cNvPr id="2" name="CommandButton2"/>
        <xdr:cNvPicPr preferRelativeResize="1">
          <a:picLocks noChangeAspect="1"/>
        </xdr:cNvPicPr>
      </xdr:nvPicPr>
      <xdr:blipFill>
        <a:blip r:embed="rId2"/>
        <a:stretch>
          <a:fillRect/>
        </a:stretch>
      </xdr:blipFill>
      <xdr:spPr>
        <a:xfrm>
          <a:off x="6572250" y="542925"/>
          <a:ext cx="14287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609600</xdr:colOff>
      <xdr:row>2</xdr:row>
      <xdr:rowOff>171450</xdr:rowOff>
    </xdr:from>
    <xdr:to>
      <xdr:col>7</xdr:col>
      <xdr:colOff>9525</xdr:colOff>
      <xdr:row>4</xdr:row>
      <xdr:rowOff>38100</xdr:rowOff>
    </xdr:to>
    <xdr:pic>
      <xdr:nvPicPr>
        <xdr:cNvPr id="1" name="CommandButton1"/>
        <xdr:cNvPicPr preferRelativeResize="1">
          <a:picLocks noChangeAspect="1"/>
        </xdr:cNvPicPr>
      </xdr:nvPicPr>
      <xdr:blipFill>
        <a:blip r:embed="rId1"/>
        <a:stretch>
          <a:fillRect/>
        </a:stretch>
      </xdr:blipFill>
      <xdr:spPr>
        <a:xfrm>
          <a:off x="6619875" y="171450"/>
          <a:ext cx="1428750" cy="361950"/>
        </a:xfrm>
        <a:prstGeom prst="rect">
          <a:avLst/>
        </a:prstGeom>
        <a:noFill/>
        <a:ln w="9525" cmpd="sng">
          <a:noFill/>
        </a:ln>
      </xdr:spPr>
    </xdr:pic>
    <xdr:clientData/>
  </xdr:twoCellAnchor>
  <xdr:twoCellAnchor editAs="oneCell">
    <xdr:from>
      <xdr:col>5</xdr:col>
      <xdr:colOff>600075</xdr:colOff>
      <xdr:row>4</xdr:row>
      <xdr:rowOff>47625</xdr:rowOff>
    </xdr:from>
    <xdr:to>
      <xdr:col>7</xdr:col>
      <xdr:colOff>0</xdr:colOff>
      <xdr:row>5</xdr:row>
      <xdr:rowOff>104775</xdr:rowOff>
    </xdr:to>
    <xdr:pic>
      <xdr:nvPicPr>
        <xdr:cNvPr id="2" name="CommandButton2"/>
        <xdr:cNvPicPr preferRelativeResize="1">
          <a:picLocks noChangeAspect="1"/>
        </xdr:cNvPicPr>
      </xdr:nvPicPr>
      <xdr:blipFill>
        <a:blip r:embed="rId2"/>
        <a:stretch>
          <a:fillRect/>
        </a:stretch>
      </xdr:blipFill>
      <xdr:spPr>
        <a:xfrm>
          <a:off x="6610350" y="542925"/>
          <a:ext cx="14287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externalLinks/_rels/externalLink1.xml.rels><?xml version="1.0" encoding="utf-8" standalone="yes"?><Relationships xmlns="http://schemas.openxmlformats.org/package/2006/relationships"><Relationship Id="rId1" Type="http://schemas.openxmlformats.org/officeDocument/2006/relationships/externalLinkPath" Target="\Consulting%20contracts\Resource%20Consulting%20June%202004\Potatoes\Potato_budget_tool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Econ Impact Summary"/>
      <sheetName val="Farm and Buffer Assumptions"/>
      <sheetName val="Input list &amp; prices"/>
      <sheetName val="Input quantities"/>
      <sheetName val="Equipment and Investment"/>
      <sheetName val="Budget Summary"/>
      <sheetName val="Buffer input prices"/>
      <sheetName val="Buffer Builder"/>
      <sheetName val="Buffer Budgets"/>
      <sheetName val="Buffer Harvest Sched"/>
      <sheetName val="Notes"/>
      <sheetName val="Annual Budgets"/>
    </sheetNames>
    <sheetDataSet>
      <sheetData sheetId="3">
        <row r="10">
          <cell r="E10">
            <v>1.8</v>
          </cell>
        </row>
        <row r="11">
          <cell r="E11">
            <v>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dimension ref="A1:A34"/>
  <sheetViews>
    <sheetView tabSelected="1" zoomScalePageLayoutView="0" workbookViewId="0" topLeftCell="A1">
      <selection activeCell="A1" sqref="A1"/>
    </sheetView>
  </sheetViews>
  <sheetFormatPr defaultColWidth="9.140625" defaultRowHeight="12.75"/>
  <cols>
    <col min="1" max="1" width="107.8515625" style="0" customWidth="1"/>
  </cols>
  <sheetData>
    <row r="1" ht="12.75">
      <c r="A1" s="443"/>
    </row>
    <row r="2" ht="30">
      <c r="A2" s="444" t="s">
        <v>672</v>
      </c>
    </row>
    <row r="3" s="351" customFormat="1" ht="27">
      <c r="A3" s="445" t="s">
        <v>562</v>
      </c>
    </row>
    <row r="4" s="351" customFormat="1" ht="27">
      <c r="A4" s="445" t="s">
        <v>563</v>
      </c>
    </row>
    <row r="5" ht="18">
      <c r="A5" s="446"/>
    </row>
    <row r="6" ht="18">
      <c r="A6" s="447"/>
    </row>
    <row r="7" ht="26.25">
      <c r="A7" s="449" t="s">
        <v>673</v>
      </c>
    </row>
    <row r="8" ht="18">
      <c r="A8" s="448"/>
    </row>
    <row r="9" ht="18">
      <c r="A9" s="448" t="s">
        <v>793</v>
      </c>
    </row>
    <row r="10" ht="18">
      <c r="A10" s="448"/>
    </row>
    <row r="11" ht="18">
      <c r="A11" s="448" t="s">
        <v>564</v>
      </c>
    </row>
    <row r="12" ht="12.75">
      <c r="A12" s="18"/>
    </row>
    <row r="13" ht="12.75">
      <c r="A13" s="18"/>
    </row>
    <row r="14" ht="12.75">
      <c r="A14" s="18"/>
    </row>
    <row r="15" ht="12.75">
      <c r="A15" s="18"/>
    </row>
    <row r="16" ht="12.75">
      <c r="A16" s="18"/>
    </row>
    <row r="17" ht="12.75">
      <c r="A17" s="18"/>
    </row>
    <row r="18" ht="12.75">
      <c r="A18" s="18"/>
    </row>
    <row r="19" ht="12.75">
      <c r="A19" s="18"/>
    </row>
    <row r="20" ht="12.75">
      <c r="A20" s="18"/>
    </row>
    <row r="21" ht="12.75">
      <c r="A21" s="18"/>
    </row>
    <row r="22" ht="12.75">
      <c r="A22" s="18"/>
    </row>
    <row r="23" ht="12.75">
      <c r="A23" s="18"/>
    </row>
    <row r="24" ht="12.75">
      <c r="A24" s="18"/>
    </row>
    <row r="25" ht="12.75">
      <c r="A25" s="18"/>
    </row>
    <row r="26" ht="12.75">
      <c r="A26" s="18"/>
    </row>
    <row r="27" ht="12.75">
      <c r="A27" s="18"/>
    </row>
    <row r="28" ht="12.75">
      <c r="A28" s="18"/>
    </row>
    <row r="29" ht="12.75">
      <c r="A29" s="18"/>
    </row>
    <row r="30" ht="12.75">
      <c r="A30" s="18"/>
    </row>
    <row r="31" ht="12.75">
      <c r="A31" s="18"/>
    </row>
    <row r="32" ht="12.75">
      <c r="A32" s="18"/>
    </row>
    <row r="33" ht="12.75">
      <c r="A33" s="18"/>
    </row>
    <row r="34" ht="12.75">
      <c r="A34" s="18"/>
    </row>
  </sheetData>
  <sheetProtection/>
  <printOptions/>
  <pageMargins left="0.52" right="0.52" top="0.78" bottom="0.83" header="0.35" footer="0.45"/>
  <pageSetup orientation="portrait" scale="91" r:id="rId1"/>
  <rowBreaks count="1" manualBreakCount="1">
    <brk id="31" max="0" man="1"/>
  </rowBreaks>
</worksheet>
</file>

<file path=xl/worksheets/sheet10.xml><?xml version="1.0" encoding="utf-8"?>
<worksheet xmlns="http://schemas.openxmlformats.org/spreadsheetml/2006/main" xmlns:r="http://schemas.openxmlformats.org/officeDocument/2006/relationships">
  <sheetPr codeName="Sheet511">
    <pageSetUpPr fitToPage="1"/>
  </sheetPr>
  <dimension ref="B1:AF110"/>
  <sheetViews>
    <sheetView zoomScalePageLayoutView="0" workbookViewId="0" topLeftCell="A1">
      <selection activeCell="A1" sqref="A1"/>
    </sheetView>
  </sheetViews>
  <sheetFormatPr defaultColWidth="9.140625" defaultRowHeight="12.75"/>
  <cols>
    <col min="1" max="1" width="3.140625" style="243" customWidth="1"/>
    <col min="2" max="2" width="45.7109375" style="1" customWidth="1"/>
    <col min="3" max="3" width="5.140625" style="1" customWidth="1"/>
    <col min="4" max="4" width="13.421875" style="2" customWidth="1"/>
    <col min="5" max="5" width="11.8515625" style="2" customWidth="1"/>
    <col min="6" max="6" width="12.57421875" style="2" customWidth="1"/>
    <col min="7" max="7" width="14.140625" style="1" customWidth="1"/>
    <col min="8" max="8" width="10.00390625" style="2" customWidth="1"/>
    <col min="9" max="9" width="12.421875" style="2" customWidth="1"/>
    <col min="10" max="10" width="14.140625" style="1" customWidth="1"/>
    <col min="11" max="11" width="13.00390625" style="1" customWidth="1"/>
    <col min="12" max="12" width="17.28125" style="2" customWidth="1"/>
    <col min="13" max="13" width="12.57421875" style="1" customWidth="1"/>
    <col min="14" max="14" width="10.8515625" style="2" customWidth="1"/>
    <col min="15" max="15" width="11.57421875" style="2" customWidth="1"/>
    <col min="16" max="16" width="14.28125" style="2" customWidth="1"/>
    <col min="17" max="18" width="10.00390625" style="2" customWidth="1"/>
    <col min="19" max="19" width="12.57421875" style="243" customWidth="1"/>
    <col min="20" max="20" width="11.421875" style="243" customWidth="1"/>
    <col min="21" max="21" width="14.00390625" style="243" customWidth="1"/>
    <col min="22" max="22" width="13.140625" style="243" customWidth="1"/>
    <col min="23" max="23" width="12.140625" style="243" customWidth="1"/>
    <col min="24" max="24" width="9.140625" style="243" customWidth="1"/>
    <col min="25" max="25" width="12.421875" style="243" bestFit="1" customWidth="1"/>
    <col min="26" max="26" width="16.8515625" style="243" customWidth="1"/>
    <col min="27" max="16384" width="9.140625" style="243" customWidth="1"/>
  </cols>
  <sheetData>
    <row r="1" spans="2:11" ht="51.75" customHeight="1">
      <c r="B1" s="888" t="s">
        <v>858</v>
      </c>
      <c r="C1" s="888"/>
      <c r="D1" s="889"/>
      <c r="E1" s="890"/>
      <c r="F1" s="890"/>
      <c r="G1" s="890"/>
      <c r="H1" s="890"/>
      <c r="I1" s="890"/>
      <c r="J1" s="294">
        <f>'Farm and Buffer Assumptions'!D11+'Farm and Buffer Assumptions'!D12</f>
        <v>20</v>
      </c>
      <c r="K1" s="294" t="s">
        <v>245</v>
      </c>
    </row>
    <row r="2" spans="2:11" ht="24" customHeight="1" thickBot="1">
      <c r="B2" s="243"/>
      <c r="C2" s="628"/>
      <c r="D2" s="890"/>
      <c r="E2" s="890"/>
      <c r="F2" s="890"/>
      <c r="G2" s="890"/>
      <c r="H2" s="890"/>
      <c r="I2" s="890"/>
      <c r="J2" s="294"/>
      <c r="K2" s="294"/>
    </row>
    <row r="3" spans="2:23" ht="23.25" customHeight="1" thickBot="1">
      <c r="B3" s="920" t="s">
        <v>109</v>
      </c>
      <c r="C3" s="920"/>
      <c r="D3" s="891"/>
      <c r="E3" s="891"/>
      <c r="F3" s="891"/>
      <c r="G3" s="891"/>
      <c r="H3" s="891"/>
      <c r="I3" s="891"/>
      <c r="J3" s="921" t="s">
        <v>268</v>
      </c>
      <c r="K3" s="922"/>
      <c r="L3" s="922"/>
      <c r="M3" s="923"/>
      <c r="N3" s="904" t="s">
        <v>590</v>
      </c>
      <c r="O3" s="905"/>
      <c r="P3" s="905"/>
      <c r="Q3" s="906"/>
      <c r="R3" s="917" t="s">
        <v>49</v>
      </c>
      <c r="S3" s="918"/>
      <c r="T3" s="918"/>
      <c r="U3" s="918"/>
      <c r="V3" s="918"/>
      <c r="W3" s="919"/>
    </row>
    <row r="4" spans="2:23" s="497" customFormat="1" ht="69.75" customHeight="1" thickBot="1">
      <c r="B4" s="896" t="s">
        <v>102</v>
      </c>
      <c r="C4" s="897"/>
      <c r="D4" s="630" t="s">
        <v>103</v>
      </c>
      <c r="E4" s="630" t="s">
        <v>104</v>
      </c>
      <c r="F4" s="630" t="s">
        <v>105</v>
      </c>
      <c r="G4" s="631" t="s">
        <v>106</v>
      </c>
      <c r="H4" s="630" t="s">
        <v>56</v>
      </c>
      <c r="I4" s="631" t="s">
        <v>50</v>
      </c>
      <c r="J4" s="632" t="s">
        <v>597</v>
      </c>
      <c r="K4" s="632" t="s">
        <v>107</v>
      </c>
      <c r="L4" s="632" t="s">
        <v>258</v>
      </c>
      <c r="M4" s="632" t="s">
        <v>259</v>
      </c>
      <c r="N4" s="633" t="s">
        <v>597</v>
      </c>
      <c r="O4" s="634" t="s">
        <v>107</v>
      </c>
      <c r="P4" s="634" t="s">
        <v>258</v>
      </c>
      <c r="Q4" s="634" t="s">
        <v>259</v>
      </c>
      <c r="R4" s="635" t="s">
        <v>110</v>
      </c>
      <c r="S4" s="635" t="s">
        <v>262</v>
      </c>
      <c r="T4" s="636" t="s">
        <v>111</v>
      </c>
      <c r="U4" s="636" t="s">
        <v>112</v>
      </c>
      <c r="V4" s="636" t="s">
        <v>269</v>
      </c>
      <c r="W4" s="636" t="s">
        <v>65</v>
      </c>
    </row>
    <row r="5" spans="2:23" ht="17.25" customHeight="1">
      <c r="B5" s="637" t="s">
        <v>250</v>
      </c>
      <c r="C5" s="638" t="s">
        <v>51</v>
      </c>
      <c r="D5" s="639"/>
      <c r="E5" s="640"/>
      <c r="F5" s="640"/>
      <c r="G5" s="641"/>
      <c r="H5" s="642"/>
      <c r="I5" s="641"/>
      <c r="J5" s="643">
        <f>'Farm and Buffer Assumptions'!D14</f>
        <v>0.05</v>
      </c>
      <c r="K5" s="644">
        <f>'Farm and Buffer Assumptions'!D16</f>
        <v>0.008</v>
      </c>
      <c r="L5" s="644">
        <v>0.003</v>
      </c>
      <c r="M5" s="644">
        <f>'Farm and Buffer Assumptions'!D13</f>
        <v>0.0128505</v>
      </c>
      <c r="N5" s="641"/>
      <c r="O5" s="642"/>
      <c r="P5" s="642"/>
      <c r="Q5" s="642"/>
      <c r="R5" s="642"/>
      <c r="S5" s="641"/>
      <c r="T5" s="642"/>
      <c r="U5" s="642"/>
      <c r="V5" s="642"/>
      <c r="W5" s="645"/>
    </row>
    <row r="6" spans="2:26" ht="17.25" customHeight="1">
      <c r="B6" s="646" t="s">
        <v>48</v>
      </c>
      <c r="C6" s="647">
        <v>28</v>
      </c>
      <c r="D6" s="648">
        <v>18300</v>
      </c>
      <c r="E6" s="649">
        <f>(D6+F6)/2</f>
        <v>10931.505000000001</v>
      </c>
      <c r="F6" s="823">
        <f aca="true" t="shared" si="0" ref="F6:F14">0.1947*D6</f>
        <v>3563.01</v>
      </c>
      <c r="G6" s="650">
        <v>15</v>
      </c>
      <c r="H6" s="651">
        <v>200</v>
      </c>
      <c r="I6" s="652">
        <v>1</v>
      </c>
      <c r="J6" s="297">
        <f aca="true" t="shared" si="1" ref="J6:J14">((D6-F6)*J$5/(1-(1+J$5)^-G6))+F6*J$5</f>
        <v>1597.945829074558</v>
      </c>
      <c r="K6" s="297">
        <f aca="true" t="shared" si="2" ref="K6:K14">E6*K$5</f>
        <v>87.45204000000001</v>
      </c>
      <c r="L6" s="297">
        <f aca="true" t="shared" si="3" ref="L6:L14">E6*L$5</f>
        <v>32.794515000000004</v>
      </c>
      <c r="M6" s="297">
        <f aca="true" t="shared" si="4" ref="M6:M14">E6*M$5</f>
        <v>140.47530500250002</v>
      </c>
      <c r="N6" s="297">
        <f aca="true" t="shared" si="5" ref="N6:N14">I6*J6</f>
        <v>1597.945829074558</v>
      </c>
      <c r="O6" s="297">
        <f aca="true" t="shared" si="6" ref="O6:O14">I6*K6</f>
        <v>87.45204000000001</v>
      </c>
      <c r="P6" s="297">
        <f aca="true" t="shared" si="7" ref="P6:P14">I6*L6</f>
        <v>32.794515000000004</v>
      </c>
      <c r="Q6" s="297">
        <f aca="true" t="shared" si="8" ref="Q6:Q14">I6*M6</f>
        <v>140.47530500250002</v>
      </c>
      <c r="R6" s="653">
        <v>378</v>
      </c>
      <c r="S6" s="654"/>
      <c r="T6" s="655">
        <f>(0.06*C6*0.73*'Buffer input prices'!$D$18*H6)*1.15</f>
        <v>479.5223999999999</v>
      </c>
      <c r="U6" s="656">
        <f aca="true" t="shared" si="9" ref="U6:U14">SUM(R6:T6)</f>
        <v>857.5223999999998</v>
      </c>
      <c r="V6" s="655">
        <f aca="true" t="shared" si="10" ref="V6:V14">I6*U6</f>
        <v>857.5223999999998</v>
      </c>
      <c r="W6" s="657">
        <f aca="true" t="shared" si="11" ref="W6:W14">H6*I6</f>
        <v>200</v>
      </c>
      <c r="Z6" s="658"/>
    </row>
    <row r="7" spans="2:26" ht="15" customHeight="1">
      <c r="B7" s="659" t="s">
        <v>98</v>
      </c>
      <c r="C7" s="660"/>
      <c r="D7" s="661">
        <v>0</v>
      </c>
      <c r="E7" s="112">
        <f aca="true" t="shared" si="12" ref="E7:E14">(D7+F7)/2</f>
        <v>0</v>
      </c>
      <c r="F7" s="824">
        <f t="shared" si="0"/>
        <v>0</v>
      </c>
      <c r="G7" s="662">
        <v>15</v>
      </c>
      <c r="H7" s="663">
        <v>0</v>
      </c>
      <c r="I7" s="664">
        <v>0</v>
      </c>
      <c r="J7" s="13">
        <f t="shared" si="1"/>
        <v>0</v>
      </c>
      <c r="K7" s="13">
        <f t="shared" si="2"/>
        <v>0</v>
      </c>
      <c r="L7" s="13">
        <f t="shared" si="3"/>
        <v>0</v>
      </c>
      <c r="M7" s="13">
        <f t="shared" si="4"/>
        <v>0</v>
      </c>
      <c r="N7" s="13">
        <f t="shared" si="5"/>
        <v>0</v>
      </c>
      <c r="O7" s="13">
        <f t="shared" si="6"/>
        <v>0</v>
      </c>
      <c r="P7" s="13">
        <f t="shared" si="7"/>
        <v>0</v>
      </c>
      <c r="Q7" s="13">
        <f t="shared" si="8"/>
        <v>0</v>
      </c>
      <c r="R7" s="665">
        <v>378</v>
      </c>
      <c r="S7" s="666"/>
      <c r="T7" s="667">
        <f>(0.06*C7*0.73*'Buffer input prices'!$D$18*H7)*1.15</f>
        <v>0</v>
      </c>
      <c r="U7" s="668">
        <f t="shared" si="9"/>
        <v>378</v>
      </c>
      <c r="V7" s="669">
        <f t="shared" si="10"/>
        <v>0</v>
      </c>
      <c r="W7" s="670">
        <f t="shared" si="11"/>
        <v>0</v>
      </c>
      <c r="Z7" s="658"/>
    </row>
    <row r="8" spans="2:26" ht="15" customHeight="1">
      <c r="B8" s="659" t="s">
        <v>98</v>
      </c>
      <c r="C8" s="660"/>
      <c r="D8" s="661">
        <v>0</v>
      </c>
      <c r="E8" s="112">
        <f t="shared" si="12"/>
        <v>0</v>
      </c>
      <c r="F8" s="824">
        <f t="shared" si="0"/>
        <v>0</v>
      </c>
      <c r="G8" s="662">
        <v>15</v>
      </c>
      <c r="H8" s="663">
        <v>0</v>
      </c>
      <c r="I8" s="664">
        <v>0</v>
      </c>
      <c r="J8" s="13">
        <f t="shared" si="1"/>
        <v>0</v>
      </c>
      <c r="K8" s="13">
        <f t="shared" si="2"/>
        <v>0</v>
      </c>
      <c r="L8" s="13">
        <f t="shared" si="3"/>
        <v>0</v>
      </c>
      <c r="M8" s="13">
        <f t="shared" si="4"/>
        <v>0</v>
      </c>
      <c r="N8" s="13">
        <f t="shared" si="5"/>
        <v>0</v>
      </c>
      <c r="O8" s="13">
        <f t="shared" si="6"/>
        <v>0</v>
      </c>
      <c r="P8" s="13">
        <f t="shared" si="7"/>
        <v>0</v>
      </c>
      <c r="Q8" s="13">
        <f t="shared" si="8"/>
        <v>0</v>
      </c>
      <c r="R8" s="665"/>
      <c r="S8" s="666"/>
      <c r="T8" s="667">
        <f>(0.06*C8*0.73*'Buffer input prices'!$D$18*H8)*1.15</f>
        <v>0</v>
      </c>
      <c r="U8" s="668">
        <f t="shared" si="9"/>
        <v>0</v>
      </c>
      <c r="V8" s="669">
        <f t="shared" si="10"/>
        <v>0</v>
      </c>
      <c r="W8" s="670">
        <f t="shared" si="11"/>
        <v>0</v>
      </c>
      <c r="Z8" s="658"/>
    </row>
    <row r="9" spans="2:26" ht="14.25" customHeight="1">
      <c r="B9" s="659" t="s">
        <v>98</v>
      </c>
      <c r="C9" s="660"/>
      <c r="D9" s="661">
        <v>0</v>
      </c>
      <c r="E9" s="112">
        <f t="shared" si="12"/>
        <v>0</v>
      </c>
      <c r="F9" s="824">
        <f t="shared" si="0"/>
        <v>0</v>
      </c>
      <c r="G9" s="662">
        <v>15</v>
      </c>
      <c r="H9" s="663">
        <v>0</v>
      </c>
      <c r="I9" s="664">
        <v>0</v>
      </c>
      <c r="J9" s="13">
        <f t="shared" si="1"/>
        <v>0</v>
      </c>
      <c r="K9" s="13">
        <f t="shared" si="2"/>
        <v>0</v>
      </c>
      <c r="L9" s="13">
        <f t="shared" si="3"/>
        <v>0</v>
      </c>
      <c r="M9" s="13">
        <f t="shared" si="4"/>
        <v>0</v>
      </c>
      <c r="N9" s="13">
        <f t="shared" si="5"/>
        <v>0</v>
      </c>
      <c r="O9" s="13">
        <f t="shared" si="6"/>
        <v>0</v>
      </c>
      <c r="P9" s="13">
        <f t="shared" si="7"/>
        <v>0</v>
      </c>
      <c r="Q9" s="13">
        <f t="shared" si="8"/>
        <v>0</v>
      </c>
      <c r="R9" s="665">
        <v>189</v>
      </c>
      <c r="S9" s="666"/>
      <c r="T9" s="667">
        <f>(0.06*C9*0.73*'Buffer input prices'!$D$18*H9)*1.15</f>
        <v>0</v>
      </c>
      <c r="U9" s="668">
        <f t="shared" si="9"/>
        <v>189</v>
      </c>
      <c r="V9" s="669">
        <f t="shared" si="10"/>
        <v>0</v>
      </c>
      <c r="W9" s="670">
        <f t="shared" si="11"/>
        <v>0</v>
      </c>
      <c r="Z9" s="658"/>
    </row>
    <row r="10" spans="2:26" ht="14.25" customHeight="1">
      <c r="B10" s="659" t="s">
        <v>98</v>
      </c>
      <c r="C10" s="660"/>
      <c r="D10" s="661">
        <v>0</v>
      </c>
      <c r="E10" s="112">
        <f t="shared" si="12"/>
        <v>0</v>
      </c>
      <c r="F10" s="824">
        <f t="shared" si="0"/>
        <v>0</v>
      </c>
      <c r="G10" s="662">
        <v>15</v>
      </c>
      <c r="H10" s="663">
        <v>0</v>
      </c>
      <c r="I10" s="664">
        <v>0</v>
      </c>
      <c r="J10" s="13">
        <f t="shared" si="1"/>
        <v>0</v>
      </c>
      <c r="K10" s="13">
        <f t="shared" si="2"/>
        <v>0</v>
      </c>
      <c r="L10" s="13">
        <f t="shared" si="3"/>
        <v>0</v>
      </c>
      <c r="M10" s="13">
        <f t="shared" si="4"/>
        <v>0</v>
      </c>
      <c r="N10" s="13">
        <f t="shared" si="5"/>
        <v>0</v>
      </c>
      <c r="O10" s="13">
        <f t="shared" si="6"/>
        <v>0</v>
      </c>
      <c r="P10" s="13">
        <f t="shared" si="7"/>
        <v>0</v>
      </c>
      <c r="Q10" s="13">
        <f t="shared" si="8"/>
        <v>0</v>
      </c>
      <c r="R10" s="665"/>
      <c r="S10" s="666"/>
      <c r="T10" s="667">
        <f>(0.06*C10*0.73*'Buffer input prices'!$D$18*H10)*1.15</f>
        <v>0</v>
      </c>
      <c r="U10" s="668">
        <f t="shared" si="9"/>
        <v>0</v>
      </c>
      <c r="V10" s="669">
        <f t="shared" si="10"/>
        <v>0</v>
      </c>
      <c r="W10" s="670">
        <f t="shared" si="11"/>
        <v>0</v>
      </c>
      <c r="Z10" s="658"/>
    </row>
    <row r="11" spans="2:26" ht="14.25" customHeight="1">
      <c r="B11" s="659" t="s">
        <v>98</v>
      </c>
      <c r="C11" s="660"/>
      <c r="D11" s="661">
        <v>0</v>
      </c>
      <c r="E11" s="112">
        <f t="shared" si="12"/>
        <v>0</v>
      </c>
      <c r="F11" s="824">
        <f t="shared" si="0"/>
        <v>0</v>
      </c>
      <c r="G11" s="662">
        <v>15</v>
      </c>
      <c r="H11" s="663">
        <v>0</v>
      </c>
      <c r="I11" s="664">
        <v>0</v>
      </c>
      <c r="J11" s="13">
        <f t="shared" si="1"/>
        <v>0</v>
      </c>
      <c r="K11" s="13">
        <f t="shared" si="2"/>
        <v>0</v>
      </c>
      <c r="L11" s="13">
        <f t="shared" si="3"/>
        <v>0</v>
      </c>
      <c r="M11" s="13">
        <f t="shared" si="4"/>
        <v>0</v>
      </c>
      <c r="N11" s="13">
        <f t="shared" si="5"/>
        <v>0</v>
      </c>
      <c r="O11" s="13">
        <f t="shared" si="6"/>
        <v>0</v>
      </c>
      <c r="P11" s="13">
        <f t="shared" si="7"/>
        <v>0</v>
      </c>
      <c r="Q11" s="13">
        <f t="shared" si="8"/>
        <v>0</v>
      </c>
      <c r="R11" s="665"/>
      <c r="S11" s="666"/>
      <c r="T11" s="667">
        <f>(0.06*C11*0.73*'Buffer input prices'!$D$18*H11)*1.15</f>
        <v>0</v>
      </c>
      <c r="U11" s="668">
        <f t="shared" si="9"/>
        <v>0</v>
      </c>
      <c r="V11" s="669">
        <f t="shared" si="10"/>
        <v>0</v>
      </c>
      <c r="W11" s="670">
        <f t="shared" si="11"/>
        <v>0</v>
      </c>
      <c r="Z11" s="658"/>
    </row>
    <row r="12" spans="2:26" ht="12.75">
      <c r="B12" s="659" t="s">
        <v>98</v>
      </c>
      <c r="C12" s="660"/>
      <c r="D12" s="661">
        <v>0</v>
      </c>
      <c r="E12" s="112">
        <f t="shared" si="12"/>
        <v>0</v>
      </c>
      <c r="F12" s="824">
        <f t="shared" si="0"/>
        <v>0</v>
      </c>
      <c r="G12" s="662">
        <v>15</v>
      </c>
      <c r="H12" s="663">
        <v>0</v>
      </c>
      <c r="I12" s="664">
        <v>0</v>
      </c>
      <c r="J12" s="13">
        <f t="shared" si="1"/>
        <v>0</v>
      </c>
      <c r="K12" s="13">
        <f t="shared" si="2"/>
        <v>0</v>
      </c>
      <c r="L12" s="13">
        <f t="shared" si="3"/>
        <v>0</v>
      </c>
      <c r="M12" s="13">
        <f t="shared" si="4"/>
        <v>0</v>
      </c>
      <c r="N12" s="13">
        <f t="shared" si="5"/>
        <v>0</v>
      </c>
      <c r="O12" s="13">
        <f t="shared" si="6"/>
        <v>0</v>
      </c>
      <c r="P12" s="13">
        <f t="shared" si="7"/>
        <v>0</v>
      </c>
      <c r="Q12" s="13">
        <f t="shared" si="8"/>
        <v>0</v>
      </c>
      <c r="R12" s="665">
        <v>1530</v>
      </c>
      <c r="S12" s="666"/>
      <c r="T12" s="667">
        <f>(0.06*C12*0.73*'Buffer input prices'!$D$18*H12)*1.15</f>
        <v>0</v>
      </c>
      <c r="U12" s="668">
        <f t="shared" si="9"/>
        <v>1530</v>
      </c>
      <c r="V12" s="669">
        <f t="shared" si="10"/>
        <v>0</v>
      </c>
      <c r="W12" s="670">
        <f t="shared" si="11"/>
        <v>0</v>
      </c>
      <c r="Z12" s="658"/>
    </row>
    <row r="13" spans="2:26" ht="12.75">
      <c r="B13" s="659" t="s">
        <v>98</v>
      </c>
      <c r="C13" s="660"/>
      <c r="D13" s="661">
        <v>0</v>
      </c>
      <c r="E13" s="112">
        <f t="shared" si="12"/>
        <v>0</v>
      </c>
      <c r="F13" s="824">
        <f t="shared" si="0"/>
        <v>0</v>
      </c>
      <c r="G13" s="662">
        <v>15</v>
      </c>
      <c r="H13" s="663">
        <v>0</v>
      </c>
      <c r="I13" s="664">
        <v>0</v>
      </c>
      <c r="J13" s="13">
        <f t="shared" si="1"/>
        <v>0</v>
      </c>
      <c r="K13" s="13">
        <f t="shared" si="2"/>
        <v>0</v>
      </c>
      <c r="L13" s="13">
        <f t="shared" si="3"/>
        <v>0</v>
      </c>
      <c r="M13" s="13">
        <f t="shared" si="4"/>
        <v>0</v>
      </c>
      <c r="N13" s="13">
        <f t="shared" si="5"/>
        <v>0</v>
      </c>
      <c r="O13" s="13">
        <f t="shared" si="6"/>
        <v>0</v>
      </c>
      <c r="P13" s="13">
        <f t="shared" si="7"/>
        <v>0</v>
      </c>
      <c r="Q13" s="13">
        <f t="shared" si="8"/>
        <v>0</v>
      </c>
      <c r="R13" s="665">
        <v>0</v>
      </c>
      <c r="S13" s="666"/>
      <c r="T13" s="667">
        <f>(0.06*C13*0.73*'Buffer input prices'!$D$18*H13)*1.15</f>
        <v>0</v>
      </c>
      <c r="U13" s="668">
        <f t="shared" si="9"/>
        <v>0</v>
      </c>
      <c r="V13" s="669">
        <f t="shared" si="10"/>
        <v>0</v>
      </c>
      <c r="W13" s="670">
        <f t="shared" si="11"/>
        <v>0</v>
      </c>
      <c r="Z13" s="658"/>
    </row>
    <row r="14" spans="2:26" ht="12.75">
      <c r="B14" s="671" t="s">
        <v>98</v>
      </c>
      <c r="C14" s="672"/>
      <c r="D14" s="673">
        <v>0</v>
      </c>
      <c r="E14" s="674">
        <f t="shared" si="12"/>
        <v>0</v>
      </c>
      <c r="F14" s="675">
        <f t="shared" si="0"/>
        <v>0</v>
      </c>
      <c r="G14" s="676">
        <v>15</v>
      </c>
      <c r="H14" s="678">
        <v>0</v>
      </c>
      <c r="I14" s="677">
        <v>0</v>
      </c>
      <c r="J14" s="374">
        <f t="shared" si="1"/>
        <v>0</v>
      </c>
      <c r="K14" s="374">
        <f t="shared" si="2"/>
        <v>0</v>
      </c>
      <c r="L14" s="374">
        <f t="shared" si="3"/>
        <v>0</v>
      </c>
      <c r="M14" s="374">
        <f t="shared" si="4"/>
        <v>0</v>
      </c>
      <c r="N14" s="374">
        <f t="shared" si="5"/>
        <v>0</v>
      </c>
      <c r="O14" s="374">
        <f t="shared" si="6"/>
        <v>0</v>
      </c>
      <c r="P14" s="374">
        <f t="shared" si="7"/>
        <v>0</v>
      </c>
      <c r="Q14" s="374">
        <f t="shared" si="8"/>
        <v>0</v>
      </c>
      <c r="R14" s="678"/>
      <c r="S14" s="679"/>
      <c r="T14" s="680">
        <f>(0.06*C14*0.73*'Buffer input prices'!$D$18*H14)*1.15</f>
        <v>0</v>
      </c>
      <c r="U14" s="681">
        <f t="shared" si="9"/>
        <v>0</v>
      </c>
      <c r="V14" s="682">
        <f t="shared" si="10"/>
        <v>0</v>
      </c>
      <c r="W14" s="683">
        <f t="shared" si="11"/>
        <v>0</v>
      </c>
      <c r="Z14" s="658"/>
    </row>
    <row r="15" spans="2:23" ht="12.75">
      <c r="B15" s="894" t="s">
        <v>252</v>
      </c>
      <c r="C15" s="895"/>
      <c r="D15" s="684"/>
      <c r="E15" s="685"/>
      <c r="F15" s="685"/>
      <c r="G15" s="686"/>
      <c r="H15" s="687"/>
      <c r="I15" s="685"/>
      <c r="J15" s="686"/>
      <c r="K15" s="685"/>
      <c r="L15" s="685"/>
      <c r="M15" s="685"/>
      <c r="N15" s="685"/>
      <c r="O15" s="687"/>
      <c r="P15" s="687"/>
      <c r="Q15" s="687"/>
      <c r="R15" s="687"/>
      <c r="S15" s="687"/>
      <c r="T15" s="687"/>
      <c r="U15" s="687"/>
      <c r="V15" s="687"/>
      <c r="W15" s="688"/>
    </row>
    <row r="16" spans="2:26" ht="12.75">
      <c r="B16" s="898" t="s">
        <v>253</v>
      </c>
      <c r="C16" s="899"/>
      <c r="D16" s="648">
        <v>500</v>
      </c>
      <c r="E16" s="649">
        <f aca="true" t="shared" si="13" ref="E16:E32">(D16+F16)/2</f>
        <v>274</v>
      </c>
      <c r="F16" s="689">
        <f aca="true" t="shared" si="14" ref="F16:F32">0.096*D16</f>
        <v>48</v>
      </c>
      <c r="G16" s="650">
        <v>15</v>
      </c>
      <c r="H16" s="651">
        <v>40</v>
      </c>
      <c r="I16" s="652">
        <v>1</v>
      </c>
      <c r="J16" s="297">
        <f aca="true" t="shared" si="15" ref="J16:J32">((D16-F16)*J$5/(1-(1+J$5)^-G16))+F16*J$5</f>
        <v>45.94671399937845</v>
      </c>
      <c r="K16" s="297">
        <f aca="true" t="shared" si="16" ref="K16:K32">E16*K$5</f>
        <v>2.192</v>
      </c>
      <c r="L16" s="297">
        <f aca="true" t="shared" si="17" ref="L16:L32">E16*L$5</f>
        <v>0.8220000000000001</v>
      </c>
      <c r="M16" s="297">
        <f aca="true" t="shared" si="18" ref="M16:M32">E16*M$5</f>
        <v>3.521037</v>
      </c>
      <c r="N16" s="297">
        <f aca="true" t="shared" si="19" ref="N16:N32">I16*J16</f>
        <v>45.94671399937845</v>
      </c>
      <c r="O16" s="297">
        <f aca="true" t="shared" si="20" ref="O16:O32">I16*K16</f>
        <v>2.192</v>
      </c>
      <c r="P16" s="297">
        <f aca="true" t="shared" si="21" ref="P16:P32">I16*L16</f>
        <v>0.8220000000000001</v>
      </c>
      <c r="Q16" s="297">
        <f aca="true" t="shared" si="22" ref="Q16:Q32">I16*M16</f>
        <v>3.521037</v>
      </c>
      <c r="R16" s="653"/>
      <c r="S16" s="654"/>
      <c r="T16" s="690">
        <v>0</v>
      </c>
      <c r="U16" s="656">
        <f aca="true" t="shared" si="23" ref="U16:U32">SUM(R16:T16)</f>
        <v>0</v>
      </c>
      <c r="V16" s="655">
        <f aca="true" t="shared" si="24" ref="V16:V32">I16*U16</f>
        <v>0</v>
      </c>
      <c r="W16" s="657">
        <f aca="true" t="shared" si="25" ref="W16:W32">H16*I16</f>
        <v>40</v>
      </c>
      <c r="Z16" s="658"/>
    </row>
    <row r="17" spans="2:26" ht="12.75">
      <c r="B17" s="892" t="s">
        <v>721</v>
      </c>
      <c r="C17" s="893"/>
      <c r="D17" s="661">
        <v>1650</v>
      </c>
      <c r="E17" s="112">
        <f t="shared" si="13"/>
        <v>904.2</v>
      </c>
      <c r="F17" s="115">
        <f t="shared" si="14"/>
        <v>158.4</v>
      </c>
      <c r="G17" s="662">
        <v>15</v>
      </c>
      <c r="H17" s="663">
        <v>40</v>
      </c>
      <c r="I17" s="664">
        <v>1</v>
      </c>
      <c r="J17" s="13">
        <f t="shared" si="15"/>
        <v>151.62415619794888</v>
      </c>
      <c r="K17" s="13">
        <f t="shared" si="16"/>
        <v>7.233600000000001</v>
      </c>
      <c r="L17" s="13">
        <f t="shared" si="17"/>
        <v>2.7126</v>
      </c>
      <c r="M17" s="13">
        <f t="shared" si="18"/>
        <v>11.619422100000001</v>
      </c>
      <c r="N17" s="13">
        <f t="shared" si="19"/>
        <v>151.62415619794888</v>
      </c>
      <c r="O17" s="13">
        <f t="shared" si="20"/>
        <v>7.233600000000001</v>
      </c>
      <c r="P17" s="13">
        <f t="shared" si="21"/>
        <v>2.7126</v>
      </c>
      <c r="Q17" s="13">
        <f t="shared" si="22"/>
        <v>11.619422100000001</v>
      </c>
      <c r="R17" s="665"/>
      <c r="S17" s="666"/>
      <c r="T17" s="667">
        <v>0</v>
      </c>
      <c r="U17" s="668">
        <f t="shared" si="23"/>
        <v>0</v>
      </c>
      <c r="V17" s="669">
        <f t="shared" si="24"/>
        <v>0</v>
      </c>
      <c r="W17" s="670">
        <f t="shared" si="25"/>
        <v>40</v>
      </c>
      <c r="Z17" s="658"/>
    </row>
    <row r="18" spans="2:26" ht="12.75">
      <c r="B18" s="892" t="s">
        <v>98</v>
      </c>
      <c r="C18" s="893"/>
      <c r="D18" s="661">
        <v>0</v>
      </c>
      <c r="E18" s="112">
        <f t="shared" si="13"/>
        <v>0</v>
      </c>
      <c r="F18" s="115">
        <f t="shared" si="14"/>
        <v>0</v>
      </c>
      <c r="G18" s="662">
        <v>15</v>
      </c>
      <c r="H18" s="663">
        <v>0</v>
      </c>
      <c r="I18" s="664">
        <v>0</v>
      </c>
      <c r="J18" s="13">
        <f t="shared" si="15"/>
        <v>0</v>
      </c>
      <c r="K18" s="13">
        <f t="shared" si="16"/>
        <v>0</v>
      </c>
      <c r="L18" s="13">
        <f t="shared" si="17"/>
        <v>0</v>
      </c>
      <c r="M18" s="13">
        <f t="shared" si="18"/>
        <v>0</v>
      </c>
      <c r="N18" s="13">
        <f t="shared" si="19"/>
        <v>0</v>
      </c>
      <c r="O18" s="13">
        <f t="shared" si="20"/>
        <v>0</v>
      </c>
      <c r="P18" s="13">
        <f t="shared" si="21"/>
        <v>0</v>
      </c>
      <c r="Q18" s="13">
        <f t="shared" si="22"/>
        <v>0</v>
      </c>
      <c r="R18" s="665"/>
      <c r="S18" s="666"/>
      <c r="T18" s="667">
        <v>0</v>
      </c>
      <c r="U18" s="668">
        <f t="shared" si="23"/>
        <v>0</v>
      </c>
      <c r="V18" s="669">
        <f t="shared" si="24"/>
        <v>0</v>
      </c>
      <c r="W18" s="670">
        <f t="shared" si="25"/>
        <v>0</v>
      </c>
      <c r="Z18" s="658"/>
    </row>
    <row r="19" spans="2:26" ht="12.75">
      <c r="B19" s="892" t="s">
        <v>98</v>
      </c>
      <c r="C19" s="893"/>
      <c r="D19" s="661">
        <v>0</v>
      </c>
      <c r="E19" s="112">
        <f t="shared" si="13"/>
        <v>0</v>
      </c>
      <c r="F19" s="115">
        <f t="shared" si="14"/>
        <v>0</v>
      </c>
      <c r="G19" s="662">
        <v>15</v>
      </c>
      <c r="H19" s="663">
        <v>0</v>
      </c>
      <c r="I19" s="664">
        <v>0</v>
      </c>
      <c r="J19" s="13">
        <f t="shared" si="15"/>
        <v>0</v>
      </c>
      <c r="K19" s="13">
        <f t="shared" si="16"/>
        <v>0</v>
      </c>
      <c r="L19" s="13">
        <f t="shared" si="17"/>
        <v>0</v>
      </c>
      <c r="M19" s="13">
        <f t="shared" si="18"/>
        <v>0</v>
      </c>
      <c r="N19" s="13">
        <f t="shared" si="19"/>
        <v>0</v>
      </c>
      <c r="O19" s="13">
        <f t="shared" si="20"/>
        <v>0</v>
      </c>
      <c r="P19" s="13">
        <f t="shared" si="21"/>
        <v>0</v>
      </c>
      <c r="Q19" s="13">
        <f t="shared" si="22"/>
        <v>0</v>
      </c>
      <c r="R19" s="665"/>
      <c r="S19" s="666"/>
      <c r="T19" s="667">
        <v>0</v>
      </c>
      <c r="U19" s="668">
        <f t="shared" si="23"/>
        <v>0</v>
      </c>
      <c r="V19" s="669">
        <f t="shared" si="24"/>
        <v>0</v>
      </c>
      <c r="W19" s="670">
        <f t="shared" si="25"/>
        <v>0</v>
      </c>
      <c r="Z19" s="658"/>
    </row>
    <row r="20" spans="2:26" ht="12.75">
      <c r="B20" s="892" t="s">
        <v>98</v>
      </c>
      <c r="C20" s="893"/>
      <c r="D20" s="661">
        <v>0</v>
      </c>
      <c r="E20" s="112">
        <f t="shared" si="13"/>
        <v>0</v>
      </c>
      <c r="F20" s="115">
        <f t="shared" si="14"/>
        <v>0</v>
      </c>
      <c r="G20" s="662">
        <v>15</v>
      </c>
      <c r="H20" s="663">
        <v>0</v>
      </c>
      <c r="I20" s="664">
        <v>0</v>
      </c>
      <c r="J20" s="13">
        <f t="shared" si="15"/>
        <v>0</v>
      </c>
      <c r="K20" s="13">
        <f t="shared" si="16"/>
        <v>0</v>
      </c>
      <c r="L20" s="13">
        <f t="shared" si="17"/>
        <v>0</v>
      </c>
      <c r="M20" s="13">
        <f t="shared" si="18"/>
        <v>0</v>
      </c>
      <c r="N20" s="13">
        <f t="shared" si="19"/>
        <v>0</v>
      </c>
      <c r="O20" s="13">
        <f t="shared" si="20"/>
        <v>0</v>
      </c>
      <c r="P20" s="13">
        <f t="shared" si="21"/>
        <v>0</v>
      </c>
      <c r="Q20" s="13">
        <f t="shared" si="22"/>
        <v>0</v>
      </c>
      <c r="R20" s="665"/>
      <c r="S20" s="666"/>
      <c r="T20" s="667">
        <v>0</v>
      </c>
      <c r="U20" s="668">
        <f t="shared" si="23"/>
        <v>0</v>
      </c>
      <c r="V20" s="669">
        <f t="shared" si="24"/>
        <v>0</v>
      </c>
      <c r="W20" s="670">
        <f t="shared" si="25"/>
        <v>0</v>
      </c>
      <c r="Z20" s="658"/>
    </row>
    <row r="21" spans="2:26" ht="12.75">
      <c r="B21" s="892" t="s">
        <v>98</v>
      </c>
      <c r="C21" s="893"/>
      <c r="D21" s="661">
        <v>0</v>
      </c>
      <c r="E21" s="112">
        <f t="shared" si="13"/>
        <v>0</v>
      </c>
      <c r="F21" s="115">
        <f t="shared" si="14"/>
        <v>0</v>
      </c>
      <c r="G21" s="662">
        <v>15</v>
      </c>
      <c r="H21" s="663">
        <v>0</v>
      </c>
      <c r="I21" s="664">
        <v>0</v>
      </c>
      <c r="J21" s="13">
        <f t="shared" si="15"/>
        <v>0</v>
      </c>
      <c r="K21" s="13">
        <f t="shared" si="16"/>
        <v>0</v>
      </c>
      <c r="L21" s="13">
        <f t="shared" si="17"/>
        <v>0</v>
      </c>
      <c r="M21" s="13">
        <f t="shared" si="18"/>
        <v>0</v>
      </c>
      <c r="N21" s="13">
        <f t="shared" si="19"/>
        <v>0</v>
      </c>
      <c r="O21" s="13">
        <f t="shared" si="20"/>
        <v>0</v>
      </c>
      <c r="P21" s="13">
        <f t="shared" si="21"/>
        <v>0</v>
      </c>
      <c r="Q21" s="13">
        <f t="shared" si="22"/>
        <v>0</v>
      </c>
      <c r="R21" s="665"/>
      <c r="S21" s="666"/>
      <c r="T21" s="667">
        <v>0</v>
      </c>
      <c r="U21" s="668">
        <f t="shared" si="23"/>
        <v>0</v>
      </c>
      <c r="V21" s="669">
        <f t="shared" si="24"/>
        <v>0</v>
      </c>
      <c r="W21" s="670">
        <f t="shared" si="25"/>
        <v>0</v>
      </c>
      <c r="Z21" s="658"/>
    </row>
    <row r="22" spans="2:26" ht="12.75">
      <c r="B22" s="892" t="s">
        <v>98</v>
      </c>
      <c r="C22" s="893"/>
      <c r="D22" s="661">
        <v>0</v>
      </c>
      <c r="E22" s="112">
        <f t="shared" si="13"/>
        <v>0</v>
      </c>
      <c r="F22" s="115">
        <f t="shared" si="14"/>
        <v>0</v>
      </c>
      <c r="G22" s="662">
        <v>15</v>
      </c>
      <c r="H22" s="663">
        <v>0</v>
      </c>
      <c r="I22" s="664">
        <v>0</v>
      </c>
      <c r="J22" s="13">
        <f t="shared" si="15"/>
        <v>0</v>
      </c>
      <c r="K22" s="13">
        <f t="shared" si="16"/>
        <v>0</v>
      </c>
      <c r="L22" s="13">
        <f t="shared" si="17"/>
        <v>0</v>
      </c>
      <c r="M22" s="13">
        <f t="shared" si="18"/>
        <v>0</v>
      </c>
      <c r="N22" s="13">
        <f t="shared" si="19"/>
        <v>0</v>
      </c>
      <c r="O22" s="13">
        <f t="shared" si="20"/>
        <v>0</v>
      </c>
      <c r="P22" s="13">
        <f t="shared" si="21"/>
        <v>0</v>
      </c>
      <c r="Q22" s="13">
        <f t="shared" si="22"/>
        <v>0</v>
      </c>
      <c r="R22" s="665"/>
      <c r="S22" s="666"/>
      <c r="T22" s="667">
        <v>0</v>
      </c>
      <c r="U22" s="668">
        <f t="shared" si="23"/>
        <v>0</v>
      </c>
      <c r="V22" s="669">
        <f t="shared" si="24"/>
        <v>0</v>
      </c>
      <c r="W22" s="670">
        <f t="shared" si="25"/>
        <v>0</v>
      </c>
      <c r="Z22" s="658"/>
    </row>
    <row r="23" spans="2:26" ht="12.75">
      <c r="B23" s="892" t="s">
        <v>98</v>
      </c>
      <c r="C23" s="893"/>
      <c r="D23" s="661">
        <v>0</v>
      </c>
      <c r="E23" s="112">
        <f t="shared" si="13"/>
        <v>0</v>
      </c>
      <c r="F23" s="115">
        <f t="shared" si="14"/>
        <v>0</v>
      </c>
      <c r="G23" s="662">
        <v>15</v>
      </c>
      <c r="H23" s="663">
        <v>0</v>
      </c>
      <c r="I23" s="664">
        <v>0</v>
      </c>
      <c r="J23" s="13">
        <f t="shared" si="15"/>
        <v>0</v>
      </c>
      <c r="K23" s="13">
        <f t="shared" si="16"/>
        <v>0</v>
      </c>
      <c r="L23" s="13">
        <f t="shared" si="17"/>
        <v>0</v>
      </c>
      <c r="M23" s="13">
        <f t="shared" si="18"/>
        <v>0</v>
      </c>
      <c r="N23" s="13">
        <f t="shared" si="19"/>
        <v>0</v>
      </c>
      <c r="O23" s="13">
        <f t="shared" si="20"/>
        <v>0</v>
      </c>
      <c r="P23" s="13">
        <f t="shared" si="21"/>
        <v>0</v>
      </c>
      <c r="Q23" s="13">
        <f t="shared" si="22"/>
        <v>0</v>
      </c>
      <c r="R23" s="665"/>
      <c r="S23" s="666"/>
      <c r="T23" s="667">
        <v>0</v>
      </c>
      <c r="U23" s="668">
        <f t="shared" si="23"/>
        <v>0</v>
      </c>
      <c r="V23" s="669">
        <f t="shared" si="24"/>
        <v>0</v>
      </c>
      <c r="W23" s="670">
        <f t="shared" si="25"/>
        <v>0</v>
      </c>
      <c r="Z23" s="658"/>
    </row>
    <row r="24" spans="2:26" ht="12.75">
      <c r="B24" s="892" t="s">
        <v>98</v>
      </c>
      <c r="C24" s="893"/>
      <c r="D24" s="661">
        <v>0</v>
      </c>
      <c r="E24" s="112">
        <f t="shared" si="13"/>
        <v>0</v>
      </c>
      <c r="F24" s="115">
        <f t="shared" si="14"/>
        <v>0</v>
      </c>
      <c r="G24" s="662">
        <v>15</v>
      </c>
      <c r="H24" s="663">
        <v>0</v>
      </c>
      <c r="I24" s="664">
        <v>0</v>
      </c>
      <c r="J24" s="13">
        <f t="shared" si="15"/>
        <v>0</v>
      </c>
      <c r="K24" s="13">
        <f t="shared" si="16"/>
        <v>0</v>
      </c>
      <c r="L24" s="13">
        <f t="shared" si="17"/>
        <v>0</v>
      </c>
      <c r="M24" s="13">
        <f t="shared" si="18"/>
        <v>0</v>
      </c>
      <c r="N24" s="13">
        <f t="shared" si="19"/>
        <v>0</v>
      </c>
      <c r="O24" s="13">
        <f t="shared" si="20"/>
        <v>0</v>
      </c>
      <c r="P24" s="13">
        <f t="shared" si="21"/>
        <v>0</v>
      </c>
      <c r="Q24" s="13">
        <f t="shared" si="22"/>
        <v>0</v>
      </c>
      <c r="R24" s="665"/>
      <c r="S24" s="666"/>
      <c r="T24" s="667">
        <v>0</v>
      </c>
      <c r="U24" s="668">
        <f t="shared" si="23"/>
        <v>0</v>
      </c>
      <c r="V24" s="669">
        <f t="shared" si="24"/>
        <v>0</v>
      </c>
      <c r="W24" s="670">
        <f t="shared" si="25"/>
        <v>0</v>
      </c>
      <c r="Z24" s="658"/>
    </row>
    <row r="25" spans="2:26" ht="12.75">
      <c r="B25" s="892" t="s">
        <v>98</v>
      </c>
      <c r="C25" s="893"/>
      <c r="D25" s="661">
        <v>0</v>
      </c>
      <c r="E25" s="112">
        <f t="shared" si="13"/>
        <v>0</v>
      </c>
      <c r="F25" s="115">
        <f t="shared" si="14"/>
        <v>0</v>
      </c>
      <c r="G25" s="662">
        <v>15</v>
      </c>
      <c r="H25" s="663">
        <v>0</v>
      </c>
      <c r="I25" s="664">
        <v>0</v>
      </c>
      <c r="J25" s="13">
        <f t="shared" si="15"/>
        <v>0</v>
      </c>
      <c r="K25" s="13">
        <f t="shared" si="16"/>
        <v>0</v>
      </c>
      <c r="L25" s="13">
        <f t="shared" si="17"/>
        <v>0</v>
      </c>
      <c r="M25" s="13">
        <f t="shared" si="18"/>
        <v>0</v>
      </c>
      <c r="N25" s="13">
        <f t="shared" si="19"/>
        <v>0</v>
      </c>
      <c r="O25" s="13">
        <f t="shared" si="20"/>
        <v>0</v>
      </c>
      <c r="P25" s="13">
        <f t="shared" si="21"/>
        <v>0</v>
      </c>
      <c r="Q25" s="13">
        <f t="shared" si="22"/>
        <v>0</v>
      </c>
      <c r="R25" s="665">
        <v>300</v>
      </c>
      <c r="S25" s="666"/>
      <c r="T25" s="667">
        <v>0</v>
      </c>
      <c r="U25" s="668">
        <f t="shared" si="23"/>
        <v>300</v>
      </c>
      <c r="V25" s="669">
        <f t="shared" si="24"/>
        <v>0</v>
      </c>
      <c r="W25" s="670">
        <f t="shared" si="25"/>
        <v>0</v>
      </c>
      <c r="Z25" s="658"/>
    </row>
    <row r="26" spans="2:26" ht="12.75">
      <c r="B26" s="892" t="s">
        <v>98</v>
      </c>
      <c r="C26" s="893"/>
      <c r="D26" s="661">
        <v>0</v>
      </c>
      <c r="E26" s="112">
        <f t="shared" si="13"/>
        <v>0</v>
      </c>
      <c r="F26" s="115">
        <f t="shared" si="14"/>
        <v>0</v>
      </c>
      <c r="G26" s="662">
        <v>15</v>
      </c>
      <c r="H26" s="663">
        <v>0</v>
      </c>
      <c r="I26" s="664">
        <v>0</v>
      </c>
      <c r="J26" s="13">
        <f t="shared" si="15"/>
        <v>0</v>
      </c>
      <c r="K26" s="13">
        <f t="shared" si="16"/>
        <v>0</v>
      </c>
      <c r="L26" s="13">
        <f t="shared" si="17"/>
        <v>0</v>
      </c>
      <c r="M26" s="13">
        <f t="shared" si="18"/>
        <v>0</v>
      </c>
      <c r="N26" s="13">
        <f t="shared" si="19"/>
        <v>0</v>
      </c>
      <c r="O26" s="13">
        <f t="shared" si="20"/>
        <v>0</v>
      </c>
      <c r="P26" s="13">
        <f t="shared" si="21"/>
        <v>0</v>
      </c>
      <c r="Q26" s="13">
        <f t="shared" si="22"/>
        <v>0</v>
      </c>
      <c r="R26" s="665">
        <v>425</v>
      </c>
      <c r="S26" s="666"/>
      <c r="T26" s="667">
        <v>0</v>
      </c>
      <c r="U26" s="668">
        <f t="shared" si="23"/>
        <v>425</v>
      </c>
      <c r="V26" s="669">
        <f t="shared" si="24"/>
        <v>0</v>
      </c>
      <c r="W26" s="670">
        <f t="shared" si="25"/>
        <v>0</v>
      </c>
      <c r="Z26" s="658"/>
    </row>
    <row r="27" spans="2:26" ht="12.75">
      <c r="B27" s="892" t="s">
        <v>98</v>
      </c>
      <c r="C27" s="893"/>
      <c r="D27" s="661">
        <v>0</v>
      </c>
      <c r="E27" s="112">
        <f t="shared" si="13"/>
        <v>0</v>
      </c>
      <c r="F27" s="115">
        <f t="shared" si="14"/>
        <v>0</v>
      </c>
      <c r="G27" s="662">
        <v>15</v>
      </c>
      <c r="H27" s="663">
        <v>0</v>
      </c>
      <c r="I27" s="664">
        <v>0</v>
      </c>
      <c r="J27" s="13">
        <f t="shared" si="15"/>
        <v>0</v>
      </c>
      <c r="K27" s="13">
        <f t="shared" si="16"/>
        <v>0</v>
      </c>
      <c r="L27" s="13">
        <f t="shared" si="17"/>
        <v>0</v>
      </c>
      <c r="M27" s="13">
        <f t="shared" si="18"/>
        <v>0</v>
      </c>
      <c r="N27" s="13">
        <f t="shared" si="19"/>
        <v>0</v>
      </c>
      <c r="O27" s="13">
        <f t="shared" si="20"/>
        <v>0</v>
      </c>
      <c r="P27" s="13">
        <f t="shared" si="21"/>
        <v>0</v>
      </c>
      <c r="Q27" s="13">
        <f t="shared" si="22"/>
        <v>0</v>
      </c>
      <c r="R27" s="665">
        <v>64</v>
      </c>
      <c r="S27" s="666"/>
      <c r="T27" s="667">
        <v>0</v>
      </c>
      <c r="U27" s="668">
        <f t="shared" si="23"/>
        <v>64</v>
      </c>
      <c r="V27" s="669">
        <f t="shared" si="24"/>
        <v>0</v>
      </c>
      <c r="W27" s="670">
        <f t="shared" si="25"/>
        <v>0</v>
      </c>
      <c r="Z27" s="658"/>
    </row>
    <row r="28" spans="2:26" ht="12.75">
      <c r="B28" s="892" t="s">
        <v>98</v>
      </c>
      <c r="C28" s="893"/>
      <c r="D28" s="661">
        <v>0</v>
      </c>
      <c r="E28" s="112">
        <f t="shared" si="13"/>
        <v>0</v>
      </c>
      <c r="F28" s="115">
        <f t="shared" si="14"/>
        <v>0</v>
      </c>
      <c r="G28" s="662">
        <v>15</v>
      </c>
      <c r="H28" s="663">
        <v>0</v>
      </c>
      <c r="I28" s="664">
        <v>0</v>
      </c>
      <c r="J28" s="13">
        <f t="shared" si="15"/>
        <v>0</v>
      </c>
      <c r="K28" s="13">
        <f t="shared" si="16"/>
        <v>0</v>
      </c>
      <c r="L28" s="13">
        <f t="shared" si="17"/>
        <v>0</v>
      </c>
      <c r="M28" s="13">
        <f t="shared" si="18"/>
        <v>0</v>
      </c>
      <c r="N28" s="13">
        <f t="shared" si="19"/>
        <v>0</v>
      </c>
      <c r="O28" s="13">
        <f t="shared" si="20"/>
        <v>0</v>
      </c>
      <c r="P28" s="13">
        <f t="shared" si="21"/>
        <v>0</v>
      </c>
      <c r="Q28" s="13">
        <f t="shared" si="22"/>
        <v>0</v>
      </c>
      <c r="R28" s="665"/>
      <c r="S28" s="666"/>
      <c r="T28" s="667">
        <v>0</v>
      </c>
      <c r="U28" s="668">
        <f t="shared" si="23"/>
        <v>0</v>
      </c>
      <c r="V28" s="669">
        <f t="shared" si="24"/>
        <v>0</v>
      </c>
      <c r="W28" s="670">
        <f t="shared" si="25"/>
        <v>0</v>
      </c>
      <c r="Z28" s="658"/>
    </row>
    <row r="29" spans="2:26" ht="12.75">
      <c r="B29" s="892" t="s">
        <v>98</v>
      </c>
      <c r="C29" s="893"/>
      <c r="D29" s="661">
        <v>0</v>
      </c>
      <c r="E29" s="112">
        <f t="shared" si="13"/>
        <v>0</v>
      </c>
      <c r="F29" s="115">
        <f t="shared" si="14"/>
        <v>0</v>
      </c>
      <c r="G29" s="662">
        <v>15</v>
      </c>
      <c r="H29" s="663">
        <v>0</v>
      </c>
      <c r="I29" s="664">
        <v>0</v>
      </c>
      <c r="J29" s="13">
        <f t="shared" si="15"/>
        <v>0</v>
      </c>
      <c r="K29" s="13">
        <f t="shared" si="16"/>
        <v>0</v>
      </c>
      <c r="L29" s="13">
        <f t="shared" si="17"/>
        <v>0</v>
      </c>
      <c r="M29" s="13">
        <f t="shared" si="18"/>
        <v>0</v>
      </c>
      <c r="N29" s="13">
        <f t="shared" si="19"/>
        <v>0</v>
      </c>
      <c r="O29" s="13">
        <f t="shared" si="20"/>
        <v>0</v>
      </c>
      <c r="P29" s="13">
        <f t="shared" si="21"/>
        <v>0</v>
      </c>
      <c r="Q29" s="13">
        <f t="shared" si="22"/>
        <v>0</v>
      </c>
      <c r="R29" s="665">
        <v>2777</v>
      </c>
      <c r="S29" s="666"/>
      <c r="T29" s="667">
        <v>0</v>
      </c>
      <c r="U29" s="668">
        <f t="shared" si="23"/>
        <v>2777</v>
      </c>
      <c r="V29" s="669">
        <f t="shared" si="24"/>
        <v>0</v>
      </c>
      <c r="W29" s="670">
        <f t="shared" si="25"/>
        <v>0</v>
      </c>
      <c r="Z29" s="658"/>
    </row>
    <row r="30" spans="2:26" ht="12.75">
      <c r="B30" s="892" t="s">
        <v>98</v>
      </c>
      <c r="C30" s="893"/>
      <c r="D30" s="661">
        <v>0</v>
      </c>
      <c r="E30" s="112">
        <f t="shared" si="13"/>
        <v>0</v>
      </c>
      <c r="F30" s="115">
        <f t="shared" si="14"/>
        <v>0</v>
      </c>
      <c r="G30" s="662">
        <v>15</v>
      </c>
      <c r="H30" s="663">
        <v>0</v>
      </c>
      <c r="I30" s="664">
        <v>0</v>
      </c>
      <c r="J30" s="13">
        <f t="shared" si="15"/>
        <v>0</v>
      </c>
      <c r="K30" s="13">
        <f t="shared" si="16"/>
        <v>0</v>
      </c>
      <c r="L30" s="13">
        <f t="shared" si="17"/>
        <v>0</v>
      </c>
      <c r="M30" s="13">
        <f t="shared" si="18"/>
        <v>0</v>
      </c>
      <c r="N30" s="13">
        <f t="shared" si="19"/>
        <v>0</v>
      </c>
      <c r="O30" s="13">
        <f t="shared" si="20"/>
        <v>0</v>
      </c>
      <c r="P30" s="13">
        <f t="shared" si="21"/>
        <v>0</v>
      </c>
      <c r="Q30" s="13">
        <f t="shared" si="22"/>
        <v>0</v>
      </c>
      <c r="R30" s="665">
        <v>651</v>
      </c>
      <c r="S30" s="666"/>
      <c r="T30" s="667">
        <v>0</v>
      </c>
      <c r="U30" s="668">
        <f t="shared" si="23"/>
        <v>651</v>
      </c>
      <c r="V30" s="669">
        <f t="shared" si="24"/>
        <v>0</v>
      </c>
      <c r="W30" s="670">
        <f t="shared" si="25"/>
        <v>0</v>
      </c>
      <c r="Z30" s="658"/>
    </row>
    <row r="31" spans="2:26" ht="12.75">
      <c r="B31" s="892" t="s">
        <v>98</v>
      </c>
      <c r="C31" s="893"/>
      <c r="D31" s="661">
        <v>0</v>
      </c>
      <c r="E31" s="112">
        <f t="shared" si="13"/>
        <v>0</v>
      </c>
      <c r="F31" s="115">
        <f t="shared" si="14"/>
        <v>0</v>
      </c>
      <c r="G31" s="662">
        <v>15</v>
      </c>
      <c r="H31" s="663">
        <v>0</v>
      </c>
      <c r="I31" s="664">
        <v>0</v>
      </c>
      <c r="J31" s="13">
        <f t="shared" si="15"/>
        <v>0</v>
      </c>
      <c r="K31" s="13">
        <f t="shared" si="16"/>
        <v>0</v>
      </c>
      <c r="L31" s="13">
        <f t="shared" si="17"/>
        <v>0</v>
      </c>
      <c r="M31" s="13">
        <f t="shared" si="18"/>
        <v>0</v>
      </c>
      <c r="N31" s="13">
        <f t="shared" si="19"/>
        <v>0</v>
      </c>
      <c r="O31" s="13">
        <f t="shared" si="20"/>
        <v>0</v>
      </c>
      <c r="P31" s="13">
        <f t="shared" si="21"/>
        <v>0</v>
      </c>
      <c r="Q31" s="13">
        <f t="shared" si="22"/>
        <v>0</v>
      </c>
      <c r="R31" s="665">
        <v>79</v>
      </c>
      <c r="S31" s="666"/>
      <c r="T31" s="667">
        <v>0</v>
      </c>
      <c r="U31" s="668">
        <f t="shared" si="23"/>
        <v>79</v>
      </c>
      <c r="V31" s="669">
        <f t="shared" si="24"/>
        <v>0</v>
      </c>
      <c r="W31" s="670">
        <f t="shared" si="25"/>
        <v>0</v>
      </c>
      <c r="Z31" s="658"/>
    </row>
    <row r="32" spans="2:26" ht="12.75">
      <c r="B32" s="900" t="s">
        <v>98</v>
      </c>
      <c r="C32" s="901"/>
      <c r="D32" s="693">
        <v>0</v>
      </c>
      <c r="E32" s="674">
        <f t="shared" si="13"/>
        <v>0</v>
      </c>
      <c r="F32" s="694">
        <f t="shared" si="14"/>
        <v>0</v>
      </c>
      <c r="G32" s="676">
        <v>15</v>
      </c>
      <c r="H32" s="695">
        <v>0</v>
      </c>
      <c r="I32" s="677">
        <v>0</v>
      </c>
      <c r="J32" s="374">
        <f t="shared" si="15"/>
        <v>0</v>
      </c>
      <c r="K32" s="374">
        <f t="shared" si="16"/>
        <v>0</v>
      </c>
      <c r="L32" s="374">
        <f t="shared" si="17"/>
        <v>0</v>
      </c>
      <c r="M32" s="374">
        <f t="shared" si="18"/>
        <v>0</v>
      </c>
      <c r="N32" s="374">
        <f t="shared" si="19"/>
        <v>0</v>
      </c>
      <c r="O32" s="374">
        <f t="shared" si="20"/>
        <v>0</v>
      </c>
      <c r="P32" s="374">
        <f t="shared" si="21"/>
        <v>0</v>
      </c>
      <c r="Q32" s="374">
        <f t="shared" si="22"/>
        <v>0</v>
      </c>
      <c r="R32" s="678">
        <v>79</v>
      </c>
      <c r="S32" s="679"/>
      <c r="T32" s="680">
        <v>0</v>
      </c>
      <c r="U32" s="681">
        <f t="shared" si="23"/>
        <v>79</v>
      </c>
      <c r="V32" s="682">
        <f t="shared" si="24"/>
        <v>0</v>
      </c>
      <c r="W32" s="683">
        <f t="shared" si="25"/>
        <v>0</v>
      </c>
      <c r="Z32" s="658"/>
    </row>
    <row r="33" spans="2:26" ht="12.75">
      <c r="B33" s="894" t="s">
        <v>254</v>
      </c>
      <c r="C33" s="895"/>
      <c r="D33" s="696"/>
      <c r="E33" s="697"/>
      <c r="F33" s="697"/>
      <c r="G33" s="698"/>
      <c r="H33" s="699"/>
      <c r="I33" s="687"/>
      <c r="J33" s="698"/>
      <c r="K33" s="697"/>
      <c r="L33" s="697"/>
      <c r="M33" s="697"/>
      <c r="N33" s="687"/>
      <c r="O33" s="699"/>
      <c r="P33" s="699"/>
      <c r="Q33" s="699"/>
      <c r="R33" s="699"/>
      <c r="S33" s="699"/>
      <c r="T33" s="699"/>
      <c r="U33" s="699"/>
      <c r="V33" s="699"/>
      <c r="W33" s="700"/>
      <c r="Z33" s="658"/>
    </row>
    <row r="34" spans="2:26" ht="12.75">
      <c r="B34" s="892" t="s">
        <v>52</v>
      </c>
      <c r="C34" s="893"/>
      <c r="D34" s="648">
        <v>6400</v>
      </c>
      <c r="E34" s="649">
        <f>(D34+F34)/2</f>
        <v>3507.2</v>
      </c>
      <c r="F34" s="689">
        <f>0.096*D34</f>
        <v>614.4</v>
      </c>
      <c r="G34" s="650">
        <v>15</v>
      </c>
      <c r="H34" s="651">
        <v>40</v>
      </c>
      <c r="I34" s="652">
        <v>1</v>
      </c>
      <c r="J34" s="297">
        <f>((D34-F34)*J$5/(1-(1+J$5)^-G34))+F34*J$5</f>
        <v>588.1179391920443</v>
      </c>
      <c r="K34" s="297">
        <f>E34*K$5</f>
        <v>28.0576</v>
      </c>
      <c r="L34" s="297">
        <f>E34*L$5</f>
        <v>10.5216</v>
      </c>
      <c r="M34" s="297">
        <f>E34*M$5</f>
        <v>45.0692736</v>
      </c>
      <c r="N34" s="297">
        <f>I34*J34</f>
        <v>588.1179391920443</v>
      </c>
      <c r="O34" s="297">
        <f>I34*K34</f>
        <v>28.0576</v>
      </c>
      <c r="P34" s="297">
        <f>I34*L34</f>
        <v>10.5216</v>
      </c>
      <c r="Q34" s="297">
        <f>I34*M34</f>
        <v>45.0692736</v>
      </c>
      <c r="R34" s="653"/>
      <c r="S34" s="654"/>
      <c r="T34" s="690">
        <v>0</v>
      </c>
      <c r="U34" s="656">
        <f>SUM(R34:T34)</f>
        <v>0</v>
      </c>
      <c r="V34" s="655">
        <f>I34*U34</f>
        <v>0</v>
      </c>
      <c r="W34" s="657">
        <f>H34*I34</f>
        <v>40</v>
      </c>
      <c r="Z34" s="658"/>
    </row>
    <row r="35" spans="2:26" ht="12.75">
      <c r="B35" s="892" t="s">
        <v>98</v>
      </c>
      <c r="C35" s="893"/>
      <c r="D35" s="661">
        <v>0</v>
      </c>
      <c r="E35" s="112">
        <f>(D35+F35)/2</f>
        <v>0</v>
      </c>
      <c r="F35" s="115">
        <f>0.096*D35</f>
        <v>0</v>
      </c>
      <c r="G35" s="662">
        <v>15</v>
      </c>
      <c r="H35" s="663">
        <v>0</v>
      </c>
      <c r="I35" s="664">
        <v>0</v>
      </c>
      <c r="J35" s="13">
        <f>((D35-F35)*J$5/(1-(1+J$5)^-G35))+F35*J$5</f>
        <v>0</v>
      </c>
      <c r="K35" s="13">
        <f>E35*K$5</f>
        <v>0</v>
      </c>
      <c r="L35" s="13">
        <f>E35*L$5</f>
        <v>0</v>
      </c>
      <c r="M35" s="13">
        <f>E35*M$5</f>
        <v>0</v>
      </c>
      <c r="N35" s="13">
        <f>I35*J35</f>
        <v>0</v>
      </c>
      <c r="O35" s="13">
        <f>I35*K35</f>
        <v>0</v>
      </c>
      <c r="P35" s="13">
        <f>I35*L35</f>
        <v>0</v>
      </c>
      <c r="Q35" s="13">
        <f>I35*M35</f>
        <v>0</v>
      </c>
      <c r="R35" s="665">
        <v>800</v>
      </c>
      <c r="S35" s="666"/>
      <c r="T35" s="667">
        <v>0</v>
      </c>
      <c r="U35" s="668">
        <f>SUM(R35:T35)</f>
        <v>800</v>
      </c>
      <c r="V35" s="669">
        <f>I35*U35</f>
        <v>0</v>
      </c>
      <c r="W35" s="670">
        <f>H35*I35</f>
        <v>0</v>
      </c>
      <c r="Z35" s="658"/>
    </row>
    <row r="36" spans="2:26" ht="12.75">
      <c r="B36" s="892" t="s">
        <v>98</v>
      </c>
      <c r="C36" s="893"/>
      <c r="D36" s="661">
        <v>0</v>
      </c>
      <c r="E36" s="112">
        <f>(D36+F36)/2</f>
        <v>0</v>
      </c>
      <c r="F36" s="115">
        <f>0.1385*D36</f>
        <v>0</v>
      </c>
      <c r="G36" s="662">
        <v>12</v>
      </c>
      <c r="H36" s="663">
        <v>0</v>
      </c>
      <c r="I36" s="664">
        <v>0</v>
      </c>
      <c r="J36" s="13">
        <f>((D36-F36)*J$5/(1-(1+J$5)^-G36))+F36*J$5</f>
        <v>0</v>
      </c>
      <c r="K36" s="13">
        <f>E36*K$5</f>
        <v>0</v>
      </c>
      <c r="L36" s="13">
        <f>E36*L$5</f>
        <v>0</v>
      </c>
      <c r="M36" s="13">
        <f>E36*M$5</f>
        <v>0</v>
      </c>
      <c r="N36" s="13">
        <f>I36*J36</f>
        <v>0</v>
      </c>
      <c r="O36" s="13">
        <f>I36*K36</f>
        <v>0</v>
      </c>
      <c r="P36" s="13">
        <f>I36*L36</f>
        <v>0</v>
      </c>
      <c r="Q36" s="13">
        <f>I36*M36</f>
        <v>0</v>
      </c>
      <c r="R36" s="665">
        <v>1237</v>
      </c>
      <c r="S36" s="666"/>
      <c r="T36" s="667">
        <v>0</v>
      </c>
      <c r="U36" s="668">
        <f>SUM(R36:T36)</f>
        <v>1237</v>
      </c>
      <c r="V36" s="669">
        <f>I36*U36</f>
        <v>0</v>
      </c>
      <c r="W36" s="670">
        <f>H36*I36</f>
        <v>0</v>
      </c>
      <c r="Z36" s="658"/>
    </row>
    <row r="37" spans="2:26" ht="12.75">
      <c r="B37" s="892" t="s">
        <v>98</v>
      </c>
      <c r="C37" s="893"/>
      <c r="D37" s="701">
        <v>0</v>
      </c>
      <c r="E37" s="112">
        <f>(D37+F37)/2</f>
        <v>0</v>
      </c>
      <c r="F37" s="115">
        <f>0.1385*D37</f>
        <v>0</v>
      </c>
      <c r="G37" s="662">
        <v>12</v>
      </c>
      <c r="H37" s="663">
        <v>0</v>
      </c>
      <c r="I37" s="664">
        <v>0</v>
      </c>
      <c r="J37" s="13">
        <f>((D37-F37)*J$5/(1-(1+J$5)^-G37))+F37*J$5</f>
        <v>0</v>
      </c>
      <c r="K37" s="13">
        <f>E37*K$5</f>
        <v>0</v>
      </c>
      <c r="L37" s="13">
        <f>E37*L$5</f>
        <v>0</v>
      </c>
      <c r="M37" s="13">
        <f>E37*M$5</f>
        <v>0</v>
      </c>
      <c r="N37" s="13">
        <f>I37*J37</f>
        <v>0</v>
      </c>
      <c r="O37" s="13">
        <f>I37*K37</f>
        <v>0</v>
      </c>
      <c r="P37" s="13">
        <f>I37*L37</f>
        <v>0</v>
      </c>
      <c r="Q37" s="13">
        <f>I37*M37</f>
        <v>0</v>
      </c>
      <c r="R37" s="665">
        <v>50</v>
      </c>
      <c r="S37" s="666"/>
      <c r="T37" s="667">
        <v>0</v>
      </c>
      <c r="U37" s="668"/>
      <c r="V37" s="669">
        <f>I37*U37</f>
        <v>0</v>
      </c>
      <c r="W37" s="670">
        <f>H37*I37</f>
        <v>0</v>
      </c>
      <c r="Z37" s="658"/>
    </row>
    <row r="38" spans="2:26" ht="12.75">
      <c r="B38" s="900" t="s">
        <v>98</v>
      </c>
      <c r="C38" s="901"/>
      <c r="D38" s="702"/>
      <c r="E38" s="674">
        <f>(D38+F38)/2</f>
        <v>0</v>
      </c>
      <c r="F38" s="674"/>
      <c r="G38" s="676">
        <v>12</v>
      </c>
      <c r="H38" s="695">
        <v>0</v>
      </c>
      <c r="I38" s="677">
        <v>0</v>
      </c>
      <c r="J38" s="374">
        <f>((D38-F38)*J$5/(1-(1+J$5)^-G38))+F38*J$5</f>
        <v>0</v>
      </c>
      <c r="K38" s="374">
        <f>E38*K$5</f>
        <v>0</v>
      </c>
      <c r="L38" s="374">
        <f>E38*L$5</f>
        <v>0</v>
      </c>
      <c r="M38" s="374">
        <f>E38*M$5</f>
        <v>0</v>
      </c>
      <c r="N38" s="374">
        <f>I38*J38</f>
        <v>0</v>
      </c>
      <c r="O38" s="374">
        <f>I38*K38</f>
        <v>0</v>
      </c>
      <c r="P38" s="374">
        <f>I38*L38</f>
        <v>0</v>
      </c>
      <c r="Q38" s="374">
        <f>I38*M38</f>
        <v>0</v>
      </c>
      <c r="R38" s="678">
        <v>50</v>
      </c>
      <c r="S38" s="679"/>
      <c r="T38" s="680">
        <v>0</v>
      </c>
      <c r="U38" s="681"/>
      <c r="V38" s="682">
        <f>I38*U38</f>
        <v>0</v>
      </c>
      <c r="W38" s="683">
        <f>H38*I38</f>
        <v>0</v>
      </c>
      <c r="Z38" s="658"/>
    </row>
    <row r="39" spans="2:26" ht="12.75">
      <c r="B39" s="894" t="s">
        <v>251</v>
      </c>
      <c r="C39" s="895"/>
      <c r="D39" s="703"/>
      <c r="E39" s="704"/>
      <c r="F39" s="704"/>
      <c r="G39" s="705"/>
      <c r="H39" s="706"/>
      <c r="I39" s="707"/>
      <c r="J39" s="705"/>
      <c r="K39" s="704"/>
      <c r="L39" s="704"/>
      <c r="M39" s="704"/>
      <c r="N39" s="707"/>
      <c r="O39" s="706"/>
      <c r="P39" s="706"/>
      <c r="Q39" s="706"/>
      <c r="R39" s="706"/>
      <c r="S39" s="706"/>
      <c r="T39" s="706"/>
      <c r="U39" s="706"/>
      <c r="V39" s="706"/>
      <c r="W39" s="708"/>
      <c r="Z39" s="658"/>
    </row>
    <row r="40" spans="2:28" ht="12.75">
      <c r="B40" s="691" t="s">
        <v>98</v>
      </c>
      <c r="C40" s="709"/>
      <c r="D40" s="701">
        <v>0</v>
      </c>
      <c r="E40" s="649">
        <f aca="true" t="shared" si="26" ref="E40:E51">(D40+F40)/2</f>
        <v>0</v>
      </c>
      <c r="F40" s="689">
        <f>0.1886*D40</f>
        <v>0</v>
      </c>
      <c r="G40" s="650">
        <v>10</v>
      </c>
      <c r="H40" s="663">
        <v>0</v>
      </c>
      <c r="I40" s="652">
        <v>0</v>
      </c>
      <c r="J40" s="297">
        <f aca="true" t="shared" si="27" ref="J40:J51">((D40-F40)*J$5/(1-(1+J$5)^-G40))+F40*J$5</f>
        <v>0</v>
      </c>
      <c r="K40" s="297">
        <f aca="true" t="shared" si="28" ref="K40:K51">E40*K$5</f>
        <v>0</v>
      </c>
      <c r="L40" s="297">
        <f aca="true" t="shared" si="29" ref="L40:L51">E40*L$5</f>
        <v>0</v>
      </c>
      <c r="M40" s="297">
        <f aca="true" t="shared" si="30" ref="M40:M51">E40*M$5</f>
        <v>0</v>
      </c>
      <c r="N40" s="297">
        <f aca="true" t="shared" si="31" ref="N40:N51">I40*J40</f>
        <v>0</v>
      </c>
      <c r="O40" s="297">
        <f aca="true" t="shared" si="32" ref="O40:O51">I40*K40</f>
        <v>0</v>
      </c>
      <c r="P40" s="297">
        <f aca="true" t="shared" si="33" ref="P40:P51">I40*L40</f>
        <v>0</v>
      </c>
      <c r="Q40" s="297">
        <f aca="true" t="shared" si="34" ref="Q40:Q51">I40*M40</f>
        <v>0</v>
      </c>
      <c r="R40" s="710">
        <v>2000</v>
      </c>
      <c r="S40" s="654"/>
      <c r="T40" s="711">
        <f>(0.06*C40*0.73*'Buffer input prices'!$D$18*H40)*1.15*2</f>
        <v>0</v>
      </c>
      <c r="U40" s="656">
        <f aca="true" t="shared" si="35" ref="U40:U51">SUM(R40:T40)</f>
        <v>2000</v>
      </c>
      <c r="V40" s="655">
        <f aca="true" t="shared" si="36" ref="V40:V51">I40*U40</f>
        <v>0</v>
      </c>
      <c r="W40" s="657">
        <f aca="true" t="shared" si="37" ref="W40:W51">H40*I40</f>
        <v>0</v>
      </c>
      <c r="Y40" s="712"/>
      <c r="Z40" s="712"/>
      <c r="AA40" s="712"/>
      <c r="AB40" s="712"/>
    </row>
    <row r="41" spans="2:26" ht="12.75">
      <c r="B41" s="691" t="s">
        <v>98</v>
      </c>
      <c r="C41" s="713"/>
      <c r="D41" s="701">
        <v>0</v>
      </c>
      <c r="E41" s="112">
        <f t="shared" si="26"/>
        <v>0</v>
      </c>
      <c r="F41" s="115">
        <f>0.1886*D41</f>
        <v>0</v>
      </c>
      <c r="G41" s="662">
        <v>10</v>
      </c>
      <c r="H41" s="663">
        <v>0</v>
      </c>
      <c r="I41" s="664">
        <v>0</v>
      </c>
      <c r="J41" s="13">
        <f t="shared" si="27"/>
        <v>0</v>
      </c>
      <c r="K41" s="13">
        <f t="shared" si="28"/>
        <v>0</v>
      </c>
      <c r="L41" s="13">
        <f t="shared" si="29"/>
        <v>0</v>
      </c>
      <c r="M41" s="13">
        <f t="shared" si="30"/>
        <v>0</v>
      </c>
      <c r="N41" s="13">
        <f t="shared" si="31"/>
        <v>0</v>
      </c>
      <c r="O41" s="13">
        <f t="shared" si="32"/>
        <v>0</v>
      </c>
      <c r="P41" s="13">
        <f t="shared" si="33"/>
        <v>0</v>
      </c>
      <c r="Q41" s="13">
        <f t="shared" si="34"/>
        <v>0</v>
      </c>
      <c r="R41" s="714">
        <v>0</v>
      </c>
      <c r="S41" s="666"/>
      <c r="T41" s="711">
        <f>(0.06*C41*0.73*'Buffer input prices'!$D$18*H41)*1.15*2</f>
        <v>0</v>
      </c>
      <c r="U41" s="668">
        <f t="shared" si="35"/>
        <v>0</v>
      </c>
      <c r="V41" s="669">
        <f t="shared" si="36"/>
        <v>0</v>
      </c>
      <c r="W41" s="670">
        <f t="shared" si="37"/>
        <v>0</v>
      </c>
      <c r="Z41" s="658"/>
    </row>
    <row r="42" spans="2:26" ht="12.75">
      <c r="B42" s="691" t="s">
        <v>98</v>
      </c>
      <c r="C42" s="713"/>
      <c r="D42" s="701">
        <v>0</v>
      </c>
      <c r="E42" s="112">
        <f t="shared" si="26"/>
        <v>0</v>
      </c>
      <c r="F42" s="115">
        <f>0.1651*D42</f>
        <v>0</v>
      </c>
      <c r="G42" s="662">
        <v>10</v>
      </c>
      <c r="H42" s="663">
        <v>0</v>
      </c>
      <c r="I42" s="664">
        <v>0</v>
      </c>
      <c r="J42" s="13">
        <f t="shared" si="27"/>
        <v>0</v>
      </c>
      <c r="K42" s="13">
        <f t="shared" si="28"/>
        <v>0</v>
      </c>
      <c r="L42" s="13">
        <f t="shared" si="29"/>
        <v>0</v>
      </c>
      <c r="M42" s="13">
        <f t="shared" si="30"/>
        <v>0</v>
      </c>
      <c r="N42" s="13">
        <f t="shared" si="31"/>
        <v>0</v>
      </c>
      <c r="O42" s="13">
        <f t="shared" si="32"/>
        <v>0</v>
      </c>
      <c r="P42" s="13">
        <f t="shared" si="33"/>
        <v>0</v>
      </c>
      <c r="Q42" s="13">
        <f t="shared" si="34"/>
        <v>0</v>
      </c>
      <c r="R42" s="714">
        <v>0</v>
      </c>
      <c r="S42" s="666"/>
      <c r="T42" s="715">
        <f>(0.06*C42*0.73*'Buffer input prices'!$D$18*H42)*1.15*2</f>
        <v>0</v>
      </c>
      <c r="U42" s="668">
        <f t="shared" si="35"/>
        <v>0</v>
      </c>
      <c r="V42" s="669">
        <f t="shared" si="36"/>
        <v>0</v>
      </c>
      <c r="W42" s="670">
        <f t="shared" si="37"/>
        <v>0</v>
      </c>
      <c r="Z42" s="658"/>
    </row>
    <row r="43" spans="2:26" ht="12.75">
      <c r="B43" s="691" t="s">
        <v>98</v>
      </c>
      <c r="C43" s="713"/>
      <c r="D43" s="701">
        <v>0</v>
      </c>
      <c r="E43" s="112">
        <f t="shared" si="26"/>
        <v>0</v>
      </c>
      <c r="F43" s="115">
        <f>0.1651*D43</f>
        <v>0</v>
      </c>
      <c r="G43" s="662">
        <v>10</v>
      </c>
      <c r="H43" s="663">
        <v>0</v>
      </c>
      <c r="I43" s="664">
        <v>0</v>
      </c>
      <c r="J43" s="13">
        <f t="shared" si="27"/>
        <v>0</v>
      </c>
      <c r="K43" s="13">
        <f t="shared" si="28"/>
        <v>0</v>
      </c>
      <c r="L43" s="13">
        <f t="shared" si="29"/>
        <v>0</v>
      </c>
      <c r="M43" s="13">
        <f t="shared" si="30"/>
        <v>0</v>
      </c>
      <c r="N43" s="13">
        <f t="shared" si="31"/>
        <v>0</v>
      </c>
      <c r="O43" s="13">
        <f t="shared" si="32"/>
        <v>0</v>
      </c>
      <c r="P43" s="13">
        <f t="shared" si="33"/>
        <v>0</v>
      </c>
      <c r="Q43" s="13">
        <f t="shared" si="34"/>
        <v>0</v>
      </c>
      <c r="R43" s="714">
        <v>0</v>
      </c>
      <c r="S43" s="666"/>
      <c r="T43" s="715">
        <f>(0.06*C43*0.73*'Buffer input prices'!$D$18*H43)*1.15*2</f>
        <v>0</v>
      </c>
      <c r="U43" s="668">
        <f t="shared" si="35"/>
        <v>0</v>
      </c>
      <c r="V43" s="669">
        <f t="shared" si="36"/>
        <v>0</v>
      </c>
      <c r="W43" s="670">
        <f t="shared" si="37"/>
        <v>0</v>
      </c>
      <c r="Z43" s="658"/>
    </row>
    <row r="44" spans="2:26" ht="12.75">
      <c r="B44" s="691" t="s">
        <v>98</v>
      </c>
      <c r="C44" s="713"/>
      <c r="D44" s="701">
        <v>0</v>
      </c>
      <c r="E44" s="112">
        <f t="shared" si="26"/>
        <v>0</v>
      </c>
      <c r="F44" s="115">
        <f>0.1886*D44</f>
        <v>0</v>
      </c>
      <c r="G44" s="662">
        <v>10</v>
      </c>
      <c r="H44" s="663">
        <v>0</v>
      </c>
      <c r="I44" s="664">
        <v>0</v>
      </c>
      <c r="J44" s="13">
        <f t="shared" si="27"/>
        <v>0</v>
      </c>
      <c r="K44" s="13">
        <f t="shared" si="28"/>
        <v>0</v>
      </c>
      <c r="L44" s="13">
        <f t="shared" si="29"/>
        <v>0</v>
      </c>
      <c r="M44" s="13">
        <f t="shared" si="30"/>
        <v>0</v>
      </c>
      <c r="N44" s="13">
        <f t="shared" si="31"/>
        <v>0</v>
      </c>
      <c r="O44" s="13">
        <f t="shared" si="32"/>
        <v>0</v>
      </c>
      <c r="P44" s="13">
        <f t="shared" si="33"/>
        <v>0</v>
      </c>
      <c r="Q44" s="13">
        <f t="shared" si="34"/>
        <v>0</v>
      </c>
      <c r="R44" s="714">
        <v>0</v>
      </c>
      <c r="S44" s="666"/>
      <c r="T44" s="715">
        <f>(0.06*C44*0.73*'Buffer input prices'!$D$18*H44)*1.15*2</f>
        <v>0</v>
      </c>
      <c r="U44" s="668">
        <f t="shared" si="35"/>
        <v>0</v>
      </c>
      <c r="V44" s="669">
        <f t="shared" si="36"/>
        <v>0</v>
      </c>
      <c r="W44" s="670">
        <f t="shared" si="37"/>
        <v>0</v>
      </c>
      <c r="Z44" s="658"/>
    </row>
    <row r="45" spans="2:26" ht="12.75">
      <c r="B45" s="691" t="s">
        <v>98</v>
      </c>
      <c r="C45" s="713"/>
      <c r="D45" s="701">
        <v>0</v>
      </c>
      <c r="E45" s="112">
        <f t="shared" si="26"/>
        <v>0</v>
      </c>
      <c r="F45" s="115">
        <f>0.1768*D45</f>
        <v>0</v>
      </c>
      <c r="G45" s="662">
        <v>10</v>
      </c>
      <c r="H45" s="663">
        <v>0</v>
      </c>
      <c r="I45" s="664">
        <v>0</v>
      </c>
      <c r="J45" s="13">
        <f t="shared" si="27"/>
        <v>0</v>
      </c>
      <c r="K45" s="13">
        <f t="shared" si="28"/>
        <v>0</v>
      </c>
      <c r="L45" s="13">
        <f t="shared" si="29"/>
        <v>0</v>
      </c>
      <c r="M45" s="13">
        <f t="shared" si="30"/>
        <v>0</v>
      </c>
      <c r="N45" s="13">
        <f t="shared" si="31"/>
        <v>0</v>
      </c>
      <c r="O45" s="13">
        <f t="shared" si="32"/>
        <v>0</v>
      </c>
      <c r="P45" s="13">
        <f t="shared" si="33"/>
        <v>0</v>
      </c>
      <c r="Q45" s="13">
        <f t="shared" si="34"/>
        <v>0</v>
      </c>
      <c r="R45" s="714">
        <v>0</v>
      </c>
      <c r="S45" s="666"/>
      <c r="T45" s="715">
        <f>(0.06*C45*0.73*'Buffer input prices'!$D$18*H45)*1.15*2</f>
        <v>0</v>
      </c>
      <c r="U45" s="668">
        <f t="shared" si="35"/>
        <v>0</v>
      </c>
      <c r="V45" s="669">
        <f t="shared" si="36"/>
        <v>0</v>
      </c>
      <c r="W45" s="670">
        <f t="shared" si="37"/>
        <v>0</v>
      </c>
      <c r="Z45" s="658"/>
    </row>
    <row r="46" spans="2:26" ht="12.75">
      <c r="B46" s="691" t="s">
        <v>98</v>
      </c>
      <c r="C46" s="713"/>
      <c r="D46" s="701">
        <v>0</v>
      </c>
      <c r="E46" s="112">
        <f t="shared" si="26"/>
        <v>0</v>
      </c>
      <c r="F46" s="115">
        <f>0.1768*D46</f>
        <v>0</v>
      </c>
      <c r="G46" s="662">
        <v>10</v>
      </c>
      <c r="H46" s="663">
        <v>0</v>
      </c>
      <c r="I46" s="664">
        <v>0</v>
      </c>
      <c r="J46" s="13">
        <f t="shared" si="27"/>
        <v>0</v>
      </c>
      <c r="K46" s="13">
        <f t="shared" si="28"/>
        <v>0</v>
      </c>
      <c r="L46" s="13">
        <f t="shared" si="29"/>
        <v>0</v>
      </c>
      <c r="M46" s="13">
        <f t="shared" si="30"/>
        <v>0</v>
      </c>
      <c r="N46" s="13">
        <f t="shared" si="31"/>
        <v>0</v>
      </c>
      <c r="O46" s="13">
        <f t="shared" si="32"/>
        <v>0</v>
      </c>
      <c r="P46" s="13">
        <f t="shared" si="33"/>
        <v>0</v>
      </c>
      <c r="Q46" s="13">
        <f t="shared" si="34"/>
        <v>0</v>
      </c>
      <c r="R46" s="714">
        <v>0</v>
      </c>
      <c r="S46" s="666"/>
      <c r="T46" s="715">
        <f>(0.06*C46*0.73*'Buffer input prices'!$D$18*H46)*1.15*2</f>
        <v>0</v>
      </c>
      <c r="U46" s="668">
        <f t="shared" si="35"/>
        <v>0</v>
      </c>
      <c r="V46" s="669">
        <f t="shared" si="36"/>
        <v>0</v>
      </c>
      <c r="W46" s="670">
        <f t="shared" si="37"/>
        <v>0</v>
      </c>
      <c r="Z46" s="658"/>
    </row>
    <row r="47" spans="2:26" ht="12.75">
      <c r="B47" s="691" t="s">
        <v>98</v>
      </c>
      <c r="C47" s="713"/>
      <c r="D47" s="701">
        <v>0</v>
      </c>
      <c r="E47" s="112">
        <f t="shared" si="26"/>
        <v>0</v>
      </c>
      <c r="F47" s="115">
        <f>0.1651*D47</f>
        <v>0</v>
      </c>
      <c r="G47" s="662">
        <v>10</v>
      </c>
      <c r="H47" s="663">
        <v>0</v>
      </c>
      <c r="I47" s="664">
        <v>0</v>
      </c>
      <c r="J47" s="13">
        <f t="shared" si="27"/>
        <v>0</v>
      </c>
      <c r="K47" s="13">
        <f t="shared" si="28"/>
        <v>0</v>
      </c>
      <c r="L47" s="13">
        <f t="shared" si="29"/>
        <v>0</v>
      </c>
      <c r="M47" s="13">
        <f t="shared" si="30"/>
        <v>0</v>
      </c>
      <c r="N47" s="13">
        <f t="shared" si="31"/>
        <v>0</v>
      </c>
      <c r="O47" s="13">
        <f t="shared" si="32"/>
        <v>0</v>
      </c>
      <c r="P47" s="13">
        <f t="shared" si="33"/>
        <v>0</v>
      </c>
      <c r="Q47" s="13">
        <f t="shared" si="34"/>
        <v>0</v>
      </c>
      <c r="R47" s="714">
        <v>0</v>
      </c>
      <c r="S47" s="666"/>
      <c r="T47" s="715">
        <f>(0.06*C47*0.73*'Buffer input prices'!$D$18*H47)*1.15*2</f>
        <v>0</v>
      </c>
      <c r="U47" s="668">
        <f t="shared" si="35"/>
        <v>0</v>
      </c>
      <c r="V47" s="669">
        <f t="shared" si="36"/>
        <v>0</v>
      </c>
      <c r="W47" s="670">
        <f t="shared" si="37"/>
        <v>0</v>
      </c>
      <c r="Z47" s="658"/>
    </row>
    <row r="48" spans="2:26" ht="12.75">
      <c r="B48" s="691" t="s">
        <v>98</v>
      </c>
      <c r="C48" s="713"/>
      <c r="D48" s="701">
        <v>0</v>
      </c>
      <c r="E48" s="112">
        <f t="shared" si="26"/>
        <v>0</v>
      </c>
      <c r="F48" s="115">
        <f>0.1886*D48</f>
        <v>0</v>
      </c>
      <c r="G48" s="662">
        <v>10</v>
      </c>
      <c r="H48" s="663">
        <v>0</v>
      </c>
      <c r="I48" s="664">
        <v>0</v>
      </c>
      <c r="J48" s="13">
        <f t="shared" si="27"/>
        <v>0</v>
      </c>
      <c r="K48" s="13">
        <f t="shared" si="28"/>
        <v>0</v>
      </c>
      <c r="L48" s="13">
        <f t="shared" si="29"/>
        <v>0</v>
      </c>
      <c r="M48" s="13">
        <f t="shared" si="30"/>
        <v>0</v>
      </c>
      <c r="N48" s="13">
        <f t="shared" si="31"/>
        <v>0</v>
      </c>
      <c r="O48" s="13">
        <f t="shared" si="32"/>
        <v>0</v>
      </c>
      <c r="P48" s="13">
        <f t="shared" si="33"/>
        <v>0</v>
      </c>
      <c r="Q48" s="13">
        <f t="shared" si="34"/>
        <v>0</v>
      </c>
      <c r="R48" s="714">
        <v>0</v>
      </c>
      <c r="S48" s="666"/>
      <c r="T48" s="715">
        <f>(0.06*C48*0.73*'Buffer input prices'!$D$18*H48)*1.15*2</f>
        <v>0</v>
      </c>
      <c r="U48" s="668">
        <f t="shared" si="35"/>
        <v>0</v>
      </c>
      <c r="V48" s="669">
        <f t="shared" si="36"/>
        <v>0</v>
      </c>
      <c r="W48" s="670">
        <f t="shared" si="37"/>
        <v>0</v>
      </c>
      <c r="Z48" s="658"/>
    </row>
    <row r="49" spans="2:26" ht="12.75">
      <c r="B49" s="691" t="s">
        <v>98</v>
      </c>
      <c r="C49" s="713"/>
      <c r="D49" s="701">
        <v>0</v>
      </c>
      <c r="E49" s="112">
        <f t="shared" si="26"/>
        <v>0</v>
      </c>
      <c r="F49" s="115">
        <f>0.1768*D49</f>
        <v>0</v>
      </c>
      <c r="G49" s="662">
        <v>10</v>
      </c>
      <c r="H49" s="663">
        <v>0</v>
      </c>
      <c r="I49" s="664">
        <v>0</v>
      </c>
      <c r="J49" s="13">
        <f t="shared" si="27"/>
        <v>0</v>
      </c>
      <c r="K49" s="13">
        <f t="shared" si="28"/>
        <v>0</v>
      </c>
      <c r="L49" s="13">
        <f t="shared" si="29"/>
        <v>0</v>
      </c>
      <c r="M49" s="13">
        <f t="shared" si="30"/>
        <v>0</v>
      </c>
      <c r="N49" s="13">
        <f t="shared" si="31"/>
        <v>0</v>
      </c>
      <c r="O49" s="13">
        <f t="shared" si="32"/>
        <v>0</v>
      </c>
      <c r="P49" s="13">
        <f t="shared" si="33"/>
        <v>0</v>
      </c>
      <c r="Q49" s="13">
        <f t="shared" si="34"/>
        <v>0</v>
      </c>
      <c r="R49" s="714">
        <v>0</v>
      </c>
      <c r="S49" s="666"/>
      <c r="T49" s="715">
        <f>(0.06*C49*0.73*'Buffer input prices'!$D$18*H49)*1.15*2</f>
        <v>0</v>
      </c>
      <c r="U49" s="668">
        <f t="shared" si="35"/>
        <v>0</v>
      </c>
      <c r="V49" s="669">
        <f t="shared" si="36"/>
        <v>0</v>
      </c>
      <c r="W49" s="670">
        <f t="shared" si="37"/>
        <v>0</v>
      </c>
      <c r="Z49" s="658"/>
    </row>
    <row r="50" spans="2:26" ht="12.75">
      <c r="B50" s="691" t="s">
        <v>98</v>
      </c>
      <c r="C50" s="713"/>
      <c r="D50" s="701">
        <v>0</v>
      </c>
      <c r="E50" s="112">
        <f t="shared" si="26"/>
        <v>0</v>
      </c>
      <c r="F50" s="115">
        <f>0.2*D50</f>
        <v>0</v>
      </c>
      <c r="G50" s="662">
        <v>10</v>
      </c>
      <c r="H50" s="716">
        <v>0</v>
      </c>
      <c r="I50" s="664">
        <v>0</v>
      </c>
      <c r="J50" s="13">
        <f t="shared" si="27"/>
        <v>0</v>
      </c>
      <c r="K50" s="13">
        <f t="shared" si="28"/>
        <v>0</v>
      </c>
      <c r="L50" s="13">
        <f t="shared" si="29"/>
        <v>0</v>
      </c>
      <c r="M50" s="13">
        <f t="shared" si="30"/>
        <v>0</v>
      </c>
      <c r="N50" s="13">
        <f t="shared" si="31"/>
        <v>0</v>
      </c>
      <c r="O50" s="13">
        <f t="shared" si="32"/>
        <v>0</v>
      </c>
      <c r="P50" s="13">
        <f t="shared" si="33"/>
        <v>0</v>
      </c>
      <c r="Q50" s="13">
        <f t="shared" si="34"/>
        <v>0</v>
      </c>
      <c r="R50" s="714">
        <v>0</v>
      </c>
      <c r="S50" s="666"/>
      <c r="T50" s="715">
        <f>(0.06*C50*0.73*'Buffer input prices'!$D$18*H50)*1.15*2</f>
        <v>0</v>
      </c>
      <c r="U50" s="668">
        <f t="shared" si="35"/>
        <v>0</v>
      </c>
      <c r="V50" s="669">
        <f t="shared" si="36"/>
        <v>0</v>
      </c>
      <c r="W50" s="670">
        <f t="shared" si="37"/>
        <v>0</v>
      </c>
      <c r="Z50" s="658"/>
    </row>
    <row r="51" spans="2:26" ht="12.75">
      <c r="B51" s="692" t="s">
        <v>98</v>
      </c>
      <c r="C51" s="717"/>
      <c r="D51" s="673">
        <v>0</v>
      </c>
      <c r="E51" s="674">
        <f t="shared" si="26"/>
        <v>0</v>
      </c>
      <c r="F51" s="694">
        <f>0.2*D51</f>
        <v>0</v>
      </c>
      <c r="G51" s="676">
        <v>10</v>
      </c>
      <c r="H51" s="718">
        <v>0</v>
      </c>
      <c r="I51" s="677">
        <v>0</v>
      </c>
      <c r="J51" s="374">
        <f t="shared" si="27"/>
        <v>0</v>
      </c>
      <c r="K51" s="374">
        <f t="shared" si="28"/>
        <v>0</v>
      </c>
      <c r="L51" s="374">
        <f t="shared" si="29"/>
        <v>0</v>
      </c>
      <c r="M51" s="374">
        <f t="shared" si="30"/>
        <v>0</v>
      </c>
      <c r="N51" s="374">
        <f t="shared" si="31"/>
        <v>0</v>
      </c>
      <c r="O51" s="374">
        <f t="shared" si="32"/>
        <v>0</v>
      </c>
      <c r="P51" s="374">
        <f t="shared" si="33"/>
        <v>0</v>
      </c>
      <c r="Q51" s="374">
        <f t="shared" si="34"/>
        <v>0</v>
      </c>
      <c r="R51" s="719">
        <v>0</v>
      </c>
      <c r="S51" s="679"/>
      <c r="T51" s="720">
        <f>(0.06*C51*0.73*'Buffer input prices'!$D$18*H51)*1.15*2</f>
        <v>0</v>
      </c>
      <c r="U51" s="681">
        <f t="shared" si="35"/>
        <v>0</v>
      </c>
      <c r="V51" s="682">
        <f t="shared" si="36"/>
        <v>0</v>
      </c>
      <c r="W51" s="683">
        <f t="shared" si="37"/>
        <v>0</v>
      </c>
      <c r="Z51" s="658"/>
    </row>
    <row r="52" spans="2:26" s="498" customFormat="1" ht="12.75">
      <c r="B52" s="894" t="s">
        <v>255</v>
      </c>
      <c r="C52" s="895"/>
      <c r="D52" s="721"/>
      <c r="E52" s="721"/>
      <c r="F52" s="722"/>
      <c r="G52" s="723"/>
      <c r="H52" s="724"/>
      <c r="I52" s="724"/>
      <c r="J52" s="723"/>
      <c r="K52" s="722"/>
      <c r="L52" s="722"/>
      <c r="M52" s="722"/>
      <c r="N52" s="724"/>
      <c r="O52" s="724"/>
      <c r="P52" s="724"/>
      <c r="Q52" s="724"/>
      <c r="R52" s="724"/>
      <c r="S52" s="724"/>
      <c r="T52" s="724"/>
      <c r="U52" s="724"/>
      <c r="V52" s="724"/>
      <c r="W52" s="725"/>
      <c r="Z52" s="658"/>
    </row>
    <row r="53" spans="2:26" s="498" customFormat="1" ht="12.75">
      <c r="B53" s="892" t="s">
        <v>59</v>
      </c>
      <c r="C53" s="893"/>
      <c r="D53" s="648">
        <v>2000</v>
      </c>
      <c r="E53" s="649">
        <f aca="true" t="shared" si="38" ref="E53:E63">(D53+F53)/2</f>
        <v>1200</v>
      </c>
      <c r="F53" s="726">
        <f>0.2*D53</f>
        <v>400</v>
      </c>
      <c r="G53" s="650">
        <v>15</v>
      </c>
      <c r="H53" s="651">
        <v>60</v>
      </c>
      <c r="I53" s="652">
        <v>1</v>
      </c>
      <c r="J53" s="297">
        <f aca="true" t="shared" si="39" ref="J53:J63">((D53-F53)*J$5/(1-(1+J$5)^-G53))+F53*J$5</f>
        <v>174.14766017479099</v>
      </c>
      <c r="K53" s="297">
        <f aca="true" t="shared" si="40" ref="K53:K63">E53*K$5</f>
        <v>9.6</v>
      </c>
      <c r="L53" s="297">
        <f aca="true" t="shared" si="41" ref="L53:L63">E53*L$5</f>
        <v>3.6</v>
      </c>
      <c r="M53" s="297">
        <f aca="true" t="shared" si="42" ref="M53:M63">E53*M$5</f>
        <v>15.4206</v>
      </c>
      <c r="N53" s="297">
        <f aca="true" t="shared" si="43" ref="N53:N63">I53*J53</f>
        <v>174.14766017479099</v>
      </c>
      <c r="O53" s="297">
        <f aca="true" t="shared" si="44" ref="O53:O63">I53*K53</f>
        <v>9.6</v>
      </c>
      <c r="P53" s="297">
        <f aca="true" t="shared" si="45" ref="P53:P63">I53*L53</f>
        <v>3.6</v>
      </c>
      <c r="Q53" s="297">
        <f aca="true" t="shared" si="46" ref="Q53:Q63">I53*M53</f>
        <v>15.4206</v>
      </c>
      <c r="R53" s="727">
        <v>0</v>
      </c>
      <c r="S53" s="728"/>
      <c r="T53" s="727">
        <v>0</v>
      </c>
      <c r="U53" s="729">
        <f aca="true" t="shared" si="47" ref="U53:U63">SUM(R53:T53)</f>
        <v>0</v>
      </c>
      <c r="V53" s="655">
        <f aca="true" t="shared" si="48" ref="V53:V63">I53*U53</f>
        <v>0</v>
      </c>
      <c r="W53" s="657">
        <f aca="true" t="shared" si="49" ref="W53:W63">H53*I53</f>
        <v>60</v>
      </c>
      <c r="Z53" s="658"/>
    </row>
    <row r="54" spans="2:26" s="498" customFormat="1" ht="12.75">
      <c r="B54" s="892" t="s">
        <v>60</v>
      </c>
      <c r="C54" s="893"/>
      <c r="D54" s="701">
        <v>540</v>
      </c>
      <c r="E54" s="112">
        <f t="shared" si="38"/>
        <v>324</v>
      </c>
      <c r="F54" s="113">
        <f>0.2*D54</f>
        <v>108</v>
      </c>
      <c r="G54" s="662">
        <v>15</v>
      </c>
      <c r="H54" s="663">
        <v>0</v>
      </c>
      <c r="I54" s="664">
        <v>1</v>
      </c>
      <c r="J54" s="13">
        <f t="shared" si="39"/>
        <v>47.019868247193564</v>
      </c>
      <c r="K54" s="13">
        <f t="shared" si="40"/>
        <v>2.592</v>
      </c>
      <c r="L54" s="13">
        <f t="shared" si="41"/>
        <v>0.972</v>
      </c>
      <c r="M54" s="13">
        <f t="shared" si="42"/>
        <v>4.163562000000001</v>
      </c>
      <c r="N54" s="13">
        <f t="shared" si="43"/>
        <v>47.019868247193564</v>
      </c>
      <c r="O54" s="13">
        <f t="shared" si="44"/>
        <v>2.592</v>
      </c>
      <c r="P54" s="13">
        <f t="shared" si="45"/>
        <v>0.972</v>
      </c>
      <c r="Q54" s="13">
        <f t="shared" si="46"/>
        <v>4.163562000000001</v>
      </c>
      <c r="R54" s="730">
        <v>0</v>
      </c>
      <c r="S54" s="731"/>
      <c r="T54" s="730">
        <v>0</v>
      </c>
      <c r="U54" s="732">
        <f t="shared" si="47"/>
        <v>0</v>
      </c>
      <c r="V54" s="669">
        <f t="shared" si="48"/>
        <v>0</v>
      </c>
      <c r="W54" s="670">
        <f t="shared" si="49"/>
        <v>0</v>
      </c>
      <c r="Z54" s="658"/>
    </row>
    <row r="55" spans="2:26" ht="12.75">
      <c r="B55" s="892" t="s">
        <v>98</v>
      </c>
      <c r="C55" s="893"/>
      <c r="D55" s="701">
        <v>0</v>
      </c>
      <c r="E55" s="112">
        <f t="shared" si="38"/>
        <v>0</v>
      </c>
      <c r="F55" s="115">
        <f>0.096*D55</f>
        <v>0</v>
      </c>
      <c r="G55" s="662">
        <v>10</v>
      </c>
      <c r="H55" s="663">
        <v>0</v>
      </c>
      <c r="I55" s="664">
        <v>0</v>
      </c>
      <c r="J55" s="13">
        <f t="shared" si="39"/>
        <v>0</v>
      </c>
      <c r="K55" s="13">
        <f t="shared" si="40"/>
        <v>0</v>
      </c>
      <c r="L55" s="13">
        <f t="shared" si="41"/>
        <v>0</v>
      </c>
      <c r="M55" s="13">
        <f t="shared" si="42"/>
        <v>0</v>
      </c>
      <c r="N55" s="13">
        <f t="shared" si="43"/>
        <v>0</v>
      </c>
      <c r="O55" s="13">
        <f t="shared" si="44"/>
        <v>0</v>
      </c>
      <c r="P55" s="13">
        <f t="shared" si="45"/>
        <v>0</v>
      </c>
      <c r="Q55" s="13">
        <f t="shared" si="46"/>
        <v>0</v>
      </c>
      <c r="R55" s="730">
        <v>0</v>
      </c>
      <c r="S55" s="666"/>
      <c r="T55" s="730">
        <v>0</v>
      </c>
      <c r="U55" s="732">
        <f t="shared" si="47"/>
        <v>0</v>
      </c>
      <c r="V55" s="669">
        <f t="shared" si="48"/>
        <v>0</v>
      </c>
      <c r="W55" s="670">
        <f t="shared" si="49"/>
        <v>0</v>
      </c>
      <c r="Z55" s="658"/>
    </row>
    <row r="56" spans="2:26" ht="12.75">
      <c r="B56" s="892" t="s">
        <v>98</v>
      </c>
      <c r="C56" s="893"/>
      <c r="D56" s="701">
        <v>0</v>
      </c>
      <c r="E56" s="112">
        <f t="shared" si="38"/>
        <v>0</v>
      </c>
      <c r="F56" s="115">
        <f>0.096*D56</f>
        <v>0</v>
      </c>
      <c r="G56" s="662">
        <v>10</v>
      </c>
      <c r="H56" s="663">
        <v>0</v>
      </c>
      <c r="I56" s="664">
        <v>0</v>
      </c>
      <c r="J56" s="13">
        <f t="shared" si="39"/>
        <v>0</v>
      </c>
      <c r="K56" s="13">
        <f t="shared" si="40"/>
        <v>0</v>
      </c>
      <c r="L56" s="13">
        <f t="shared" si="41"/>
        <v>0</v>
      </c>
      <c r="M56" s="13">
        <f t="shared" si="42"/>
        <v>0</v>
      </c>
      <c r="N56" s="13">
        <f t="shared" si="43"/>
        <v>0</v>
      </c>
      <c r="O56" s="13">
        <f t="shared" si="44"/>
        <v>0</v>
      </c>
      <c r="P56" s="13">
        <f t="shared" si="45"/>
        <v>0</v>
      </c>
      <c r="Q56" s="13">
        <f t="shared" si="46"/>
        <v>0</v>
      </c>
      <c r="R56" s="730">
        <v>0</v>
      </c>
      <c r="S56" s="666"/>
      <c r="T56" s="730">
        <v>0</v>
      </c>
      <c r="U56" s="732">
        <f t="shared" si="47"/>
        <v>0</v>
      </c>
      <c r="V56" s="669">
        <f t="shared" si="48"/>
        <v>0</v>
      </c>
      <c r="W56" s="670">
        <f t="shared" si="49"/>
        <v>0</v>
      </c>
      <c r="Z56" s="658"/>
    </row>
    <row r="57" spans="2:26" s="498" customFormat="1" ht="12.75">
      <c r="B57" s="892" t="s">
        <v>98</v>
      </c>
      <c r="C57" s="893"/>
      <c r="D57" s="701">
        <v>0</v>
      </c>
      <c r="E57" s="112">
        <f t="shared" si="38"/>
        <v>0</v>
      </c>
      <c r="F57" s="113">
        <f aca="true" t="shared" si="50" ref="F57:F63">0.2*D57</f>
        <v>0</v>
      </c>
      <c r="G57" s="662">
        <v>10</v>
      </c>
      <c r="H57" s="663">
        <v>0</v>
      </c>
      <c r="I57" s="664">
        <v>0</v>
      </c>
      <c r="J57" s="13">
        <f t="shared" si="39"/>
        <v>0</v>
      </c>
      <c r="K57" s="13">
        <f t="shared" si="40"/>
        <v>0</v>
      </c>
      <c r="L57" s="13">
        <f t="shared" si="41"/>
        <v>0</v>
      </c>
      <c r="M57" s="13">
        <f t="shared" si="42"/>
        <v>0</v>
      </c>
      <c r="N57" s="13">
        <f t="shared" si="43"/>
        <v>0</v>
      </c>
      <c r="O57" s="13">
        <f t="shared" si="44"/>
        <v>0</v>
      </c>
      <c r="P57" s="13">
        <f t="shared" si="45"/>
        <v>0</v>
      </c>
      <c r="Q57" s="13">
        <f t="shared" si="46"/>
        <v>0</v>
      </c>
      <c r="R57" s="730">
        <v>0</v>
      </c>
      <c r="S57" s="731"/>
      <c r="T57" s="730">
        <v>0</v>
      </c>
      <c r="U57" s="732">
        <f t="shared" si="47"/>
        <v>0</v>
      </c>
      <c r="V57" s="669">
        <f t="shared" si="48"/>
        <v>0</v>
      </c>
      <c r="W57" s="670">
        <f t="shared" si="49"/>
        <v>0</v>
      </c>
      <c r="Z57" s="658"/>
    </row>
    <row r="58" spans="2:26" s="498" customFormat="1" ht="12.75">
      <c r="B58" s="892" t="s">
        <v>98</v>
      </c>
      <c r="C58" s="893"/>
      <c r="D58" s="701">
        <v>0</v>
      </c>
      <c r="E58" s="112">
        <f t="shared" si="38"/>
        <v>0</v>
      </c>
      <c r="F58" s="113">
        <f t="shared" si="50"/>
        <v>0</v>
      </c>
      <c r="G58" s="662">
        <v>10</v>
      </c>
      <c r="H58" s="663">
        <v>0</v>
      </c>
      <c r="I58" s="664">
        <v>0</v>
      </c>
      <c r="J58" s="13">
        <f t="shared" si="39"/>
        <v>0</v>
      </c>
      <c r="K58" s="13">
        <f t="shared" si="40"/>
        <v>0</v>
      </c>
      <c r="L58" s="13">
        <f t="shared" si="41"/>
        <v>0</v>
      </c>
      <c r="M58" s="13">
        <f t="shared" si="42"/>
        <v>0</v>
      </c>
      <c r="N58" s="13">
        <f t="shared" si="43"/>
        <v>0</v>
      </c>
      <c r="O58" s="13">
        <f t="shared" si="44"/>
        <v>0</v>
      </c>
      <c r="P58" s="13">
        <f t="shared" si="45"/>
        <v>0</v>
      </c>
      <c r="Q58" s="13">
        <f t="shared" si="46"/>
        <v>0</v>
      </c>
      <c r="R58" s="730">
        <v>0</v>
      </c>
      <c r="S58" s="731"/>
      <c r="T58" s="730">
        <v>0</v>
      </c>
      <c r="U58" s="732">
        <f t="shared" si="47"/>
        <v>0</v>
      </c>
      <c r="V58" s="669">
        <f t="shared" si="48"/>
        <v>0</v>
      </c>
      <c r="W58" s="670">
        <f t="shared" si="49"/>
        <v>0</v>
      </c>
      <c r="Z58" s="658"/>
    </row>
    <row r="59" spans="2:26" s="498" customFormat="1" ht="12.75">
      <c r="B59" s="892" t="s">
        <v>98</v>
      </c>
      <c r="C59" s="893"/>
      <c r="D59" s="701">
        <v>0</v>
      </c>
      <c r="E59" s="112">
        <f t="shared" si="38"/>
        <v>0</v>
      </c>
      <c r="F59" s="113">
        <f t="shared" si="50"/>
        <v>0</v>
      </c>
      <c r="G59" s="662">
        <v>10</v>
      </c>
      <c r="H59" s="663">
        <v>0</v>
      </c>
      <c r="I59" s="664">
        <v>0</v>
      </c>
      <c r="J59" s="13">
        <f t="shared" si="39"/>
        <v>0</v>
      </c>
      <c r="K59" s="13">
        <f t="shared" si="40"/>
        <v>0</v>
      </c>
      <c r="L59" s="13">
        <f t="shared" si="41"/>
        <v>0</v>
      </c>
      <c r="M59" s="13">
        <f t="shared" si="42"/>
        <v>0</v>
      </c>
      <c r="N59" s="13">
        <f t="shared" si="43"/>
        <v>0</v>
      </c>
      <c r="O59" s="13">
        <f t="shared" si="44"/>
        <v>0</v>
      </c>
      <c r="P59" s="13">
        <f t="shared" si="45"/>
        <v>0</v>
      </c>
      <c r="Q59" s="13">
        <f t="shared" si="46"/>
        <v>0</v>
      </c>
      <c r="R59" s="730">
        <v>0</v>
      </c>
      <c r="S59" s="731"/>
      <c r="T59" s="730">
        <v>0</v>
      </c>
      <c r="U59" s="732">
        <f t="shared" si="47"/>
        <v>0</v>
      </c>
      <c r="V59" s="669">
        <f t="shared" si="48"/>
        <v>0</v>
      </c>
      <c r="W59" s="670">
        <f t="shared" si="49"/>
        <v>0</v>
      </c>
      <c r="Z59" s="658"/>
    </row>
    <row r="60" spans="2:26" s="498" customFormat="1" ht="12.75">
      <c r="B60" s="892" t="s">
        <v>98</v>
      </c>
      <c r="C60" s="893"/>
      <c r="D60" s="701">
        <v>0</v>
      </c>
      <c r="E60" s="112">
        <f t="shared" si="38"/>
        <v>0</v>
      </c>
      <c r="F60" s="113">
        <f t="shared" si="50"/>
        <v>0</v>
      </c>
      <c r="G60" s="662">
        <v>10</v>
      </c>
      <c r="H60" s="663">
        <v>0</v>
      </c>
      <c r="I60" s="664">
        <v>0</v>
      </c>
      <c r="J60" s="13">
        <f t="shared" si="39"/>
        <v>0</v>
      </c>
      <c r="K60" s="13">
        <f t="shared" si="40"/>
        <v>0</v>
      </c>
      <c r="L60" s="13">
        <f t="shared" si="41"/>
        <v>0</v>
      </c>
      <c r="M60" s="13">
        <f t="shared" si="42"/>
        <v>0</v>
      </c>
      <c r="N60" s="13">
        <f t="shared" si="43"/>
        <v>0</v>
      </c>
      <c r="O60" s="13">
        <f t="shared" si="44"/>
        <v>0</v>
      </c>
      <c r="P60" s="13">
        <f t="shared" si="45"/>
        <v>0</v>
      </c>
      <c r="Q60" s="13">
        <f t="shared" si="46"/>
        <v>0</v>
      </c>
      <c r="R60" s="730">
        <v>0</v>
      </c>
      <c r="S60" s="731"/>
      <c r="T60" s="730">
        <v>0</v>
      </c>
      <c r="U60" s="732">
        <f t="shared" si="47"/>
        <v>0</v>
      </c>
      <c r="V60" s="669">
        <f t="shared" si="48"/>
        <v>0</v>
      </c>
      <c r="W60" s="670">
        <f t="shared" si="49"/>
        <v>0</v>
      </c>
      <c r="Z60" s="658"/>
    </row>
    <row r="61" spans="2:26" s="498" customFormat="1" ht="12.75">
      <c r="B61" s="892" t="s">
        <v>98</v>
      </c>
      <c r="C61" s="893"/>
      <c r="D61" s="701">
        <v>0</v>
      </c>
      <c r="E61" s="112">
        <f t="shared" si="38"/>
        <v>0</v>
      </c>
      <c r="F61" s="113">
        <f t="shared" si="50"/>
        <v>0</v>
      </c>
      <c r="G61" s="662">
        <v>10</v>
      </c>
      <c r="H61" s="663">
        <v>0</v>
      </c>
      <c r="I61" s="664">
        <v>0</v>
      </c>
      <c r="J61" s="13">
        <f t="shared" si="39"/>
        <v>0</v>
      </c>
      <c r="K61" s="13">
        <f t="shared" si="40"/>
        <v>0</v>
      </c>
      <c r="L61" s="13">
        <f t="shared" si="41"/>
        <v>0</v>
      </c>
      <c r="M61" s="13">
        <f t="shared" si="42"/>
        <v>0</v>
      </c>
      <c r="N61" s="13">
        <f t="shared" si="43"/>
        <v>0</v>
      </c>
      <c r="O61" s="13">
        <f t="shared" si="44"/>
        <v>0</v>
      </c>
      <c r="P61" s="13">
        <f t="shared" si="45"/>
        <v>0</v>
      </c>
      <c r="Q61" s="13">
        <f t="shared" si="46"/>
        <v>0</v>
      </c>
      <c r="R61" s="730">
        <v>0</v>
      </c>
      <c r="S61" s="731"/>
      <c r="T61" s="730">
        <v>0</v>
      </c>
      <c r="U61" s="732">
        <f t="shared" si="47"/>
        <v>0</v>
      </c>
      <c r="V61" s="669">
        <f t="shared" si="48"/>
        <v>0</v>
      </c>
      <c r="W61" s="670">
        <f t="shared" si="49"/>
        <v>0</v>
      </c>
      <c r="Z61" s="658"/>
    </row>
    <row r="62" spans="2:26" ht="12.75">
      <c r="B62" s="892" t="s">
        <v>98</v>
      </c>
      <c r="C62" s="893"/>
      <c r="D62" s="701">
        <v>0</v>
      </c>
      <c r="E62" s="112">
        <f t="shared" si="38"/>
        <v>0</v>
      </c>
      <c r="F62" s="113">
        <f t="shared" si="50"/>
        <v>0</v>
      </c>
      <c r="G62" s="662">
        <v>15</v>
      </c>
      <c r="H62" s="663">
        <v>0</v>
      </c>
      <c r="I62" s="664">
        <v>0</v>
      </c>
      <c r="J62" s="13">
        <f t="shared" si="39"/>
        <v>0</v>
      </c>
      <c r="K62" s="13">
        <f t="shared" si="40"/>
        <v>0</v>
      </c>
      <c r="L62" s="13">
        <f t="shared" si="41"/>
        <v>0</v>
      </c>
      <c r="M62" s="13">
        <f t="shared" si="42"/>
        <v>0</v>
      </c>
      <c r="N62" s="13">
        <f t="shared" si="43"/>
        <v>0</v>
      </c>
      <c r="O62" s="13">
        <f t="shared" si="44"/>
        <v>0</v>
      </c>
      <c r="P62" s="13">
        <f t="shared" si="45"/>
        <v>0</v>
      </c>
      <c r="Q62" s="13">
        <f t="shared" si="46"/>
        <v>0</v>
      </c>
      <c r="R62" s="730">
        <v>0</v>
      </c>
      <c r="S62" s="666"/>
      <c r="T62" s="730">
        <v>0</v>
      </c>
      <c r="U62" s="732">
        <f t="shared" si="47"/>
        <v>0</v>
      </c>
      <c r="V62" s="669">
        <f t="shared" si="48"/>
        <v>0</v>
      </c>
      <c r="W62" s="670">
        <f t="shared" si="49"/>
        <v>0</v>
      </c>
      <c r="Z62" s="658"/>
    </row>
    <row r="63" spans="2:26" ht="12.75">
      <c r="B63" s="900" t="s">
        <v>98</v>
      </c>
      <c r="C63" s="901"/>
      <c r="D63" s="673">
        <v>0</v>
      </c>
      <c r="E63" s="674">
        <f t="shared" si="38"/>
        <v>0</v>
      </c>
      <c r="F63" s="675">
        <f t="shared" si="50"/>
        <v>0</v>
      </c>
      <c r="G63" s="676">
        <v>15</v>
      </c>
      <c r="H63" s="695">
        <v>0</v>
      </c>
      <c r="I63" s="677">
        <v>0</v>
      </c>
      <c r="J63" s="374">
        <f t="shared" si="39"/>
        <v>0</v>
      </c>
      <c r="K63" s="374">
        <f t="shared" si="40"/>
        <v>0</v>
      </c>
      <c r="L63" s="374">
        <f t="shared" si="41"/>
        <v>0</v>
      </c>
      <c r="M63" s="374">
        <f t="shared" si="42"/>
        <v>0</v>
      </c>
      <c r="N63" s="374">
        <f t="shared" si="43"/>
        <v>0</v>
      </c>
      <c r="O63" s="374">
        <f t="shared" si="44"/>
        <v>0</v>
      </c>
      <c r="P63" s="374">
        <f t="shared" si="45"/>
        <v>0</v>
      </c>
      <c r="Q63" s="374">
        <f t="shared" si="46"/>
        <v>0</v>
      </c>
      <c r="R63" s="719">
        <v>0</v>
      </c>
      <c r="S63" s="679"/>
      <c r="T63" s="719">
        <v>0</v>
      </c>
      <c r="U63" s="733">
        <f t="shared" si="47"/>
        <v>0</v>
      </c>
      <c r="V63" s="682">
        <f t="shared" si="48"/>
        <v>0</v>
      </c>
      <c r="W63" s="683">
        <f t="shared" si="49"/>
        <v>0</v>
      </c>
      <c r="Z63" s="658"/>
    </row>
    <row r="64" spans="2:24" ht="32.25" customHeight="1" thickBot="1">
      <c r="B64" s="907" t="s">
        <v>272</v>
      </c>
      <c r="C64" s="908"/>
      <c r="D64" s="734">
        <f>SUM(D6:D63)</f>
        <v>29390</v>
      </c>
      <c r="E64" s="734">
        <f>SUM(E6:E63)</f>
        <v>17140.905000000002</v>
      </c>
      <c r="F64" s="734">
        <f>SUM(F6:F63)</f>
        <v>4891.81</v>
      </c>
      <c r="G64" s="734"/>
      <c r="H64" s="734"/>
      <c r="I64" s="735"/>
      <c r="J64" s="734">
        <f aca="true" t="shared" si="51" ref="J64:R64">SUM(J6:J63)</f>
        <v>2604.8021668859146</v>
      </c>
      <c r="K64" s="734">
        <f t="shared" si="51"/>
        <v>137.12724000000003</v>
      </c>
      <c r="L64" s="734">
        <f t="shared" si="51"/>
        <v>51.42271500000001</v>
      </c>
      <c r="M64" s="734">
        <f t="shared" si="51"/>
        <v>220.26919970250006</v>
      </c>
      <c r="N64" s="734">
        <f t="shared" si="51"/>
        <v>2604.8021668859146</v>
      </c>
      <c r="O64" s="734">
        <f t="shared" si="51"/>
        <v>137.12724000000003</v>
      </c>
      <c r="P64" s="734">
        <f t="shared" si="51"/>
        <v>51.42271500000001</v>
      </c>
      <c r="Q64" s="734">
        <f t="shared" si="51"/>
        <v>220.26919970250006</v>
      </c>
      <c r="R64" s="734">
        <f t="shared" si="51"/>
        <v>10987</v>
      </c>
      <c r="S64" s="734"/>
      <c r="T64" s="734">
        <f>SUM(T6:T63)</f>
        <v>479.5223999999999</v>
      </c>
      <c r="U64" s="734">
        <f>SUM(U6:U63)</f>
        <v>11366.5224</v>
      </c>
      <c r="V64" s="734">
        <f>SUM(V6:V63)</f>
        <v>857.5223999999998</v>
      </c>
      <c r="W64" s="736">
        <f>SUM(W16:W63)</f>
        <v>180</v>
      </c>
      <c r="X64" s="4"/>
    </row>
    <row r="65" spans="2:23" ht="15" customHeight="1" thickBot="1">
      <c r="B65" s="737"/>
      <c r="C65" s="737"/>
      <c r="D65" s="8"/>
      <c r="E65" s="8"/>
      <c r="F65" s="8"/>
      <c r="G65" s="8"/>
      <c r="H65" s="8"/>
      <c r="I65" s="738"/>
      <c r="J65" s="8"/>
      <c r="K65" s="8"/>
      <c r="L65" s="8"/>
      <c r="M65" s="8"/>
      <c r="N65" s="8"/>
      <c r="O65" s="8"/>
      <c r="P65" s="8"/>
      <c r="Q65" s="8"/>
      <c r="R65" s="8"/>
      <c r="S65" s="8"/>
      <c r="T65" s="8"/>
      <c r="U65" s="8"/>
      <c r="V65" s="8"/>
      <c r="W65" s="8"/>
    </row>
    <row r="66" spans="2:23" ht="70.5" customHeight="1" thickBot="1">
      <c r="B66" s="896" t="s">
        <v>256</v>
      </c>
      <c r="C66" s="897"/>
      <c r="D66" s="630" t="s">
        <v>103</v>
      </c>
      <c r="E66" s="630" t="s">
        <v>104</v>
      </c>
      <c r="F66" s="630" t="s">
        <v>105</v>
      </c>
      <c r="G66" s="631" t="s">
        <v>106</v>
      </c>
      <c r="H66" s="630" t="s">
        <v>57</v>
      </c>
      <c r="I66" s="631" t="s">
        <v>50</v>
      </c>
      <c r="J66" s="632" t="s">
        <v>597</v>
      </c>
      <c r="K66" s="632" t="s">
        <v>107</v>
      </c>
      <c r="L66" s="632" t="s">
        <v>258</v>
      </c>
      <c r="M66" s="632" t="s">
        <v>259</v>
      </c>
      <c r="N66" s="633" t="s">
        <v>597</v>
      </c>
      <c r="O66" s="634" t="s">
        <v>107</v>
      </c>
      <c r="P66" s="634" t="s">
        <v>258</v>
      </c>
      <c r="Q66" s="634" t="s">
        <v>259</v>
      </c>
      <c r="R66" s="635" t="s">
        <v>110</v>
      </c>
      <c r="S66" s="635" t="s">
        <v>53</v>
      </c>
      <c r="T66" s="636" t="s">
        <v>257</v>
      </c>
      <c r="U66" s="636" t="s">
        <v>112</v>
      </c>
      <c r="V66" s="636" t="s">
        <v>269</v>
      </c>
      <c r="W66" s="636" t="s">
        <v>65</v>
      </c>
    </row>
    <row r="67" spans="2:23" ht="15" customHeight="1">
      <c r="B67" s="892" t="s">
        <v>62</v>
      </c>
      <c r="C67" s="893"/>
      <c r="D67" s="701">
        <v>2034</v>
      </c>
      <c r="E67" s="112">
        <f>(D67+F67)/2</f>
        <v>1220.4</v>
      </c>
      <c r="F67" s="113">
        <f>0.2*D67</f>
        <v>406.8</v>
      </c>
      <c r="G67" s="662">
        <v>20</v>
      </c>
      <c r="H67" s="800"/>
      <c r="I67" s="664">
        <v>1</v>
      </c>
      <c r="J67" s="13">
        <f>((D67-F67)*J$5/(1-(1+J$5)^-G67))+F67*J$5</f>
        <v>150.91073787669293</v>
      </c>
      <c r="K67" s="13">
        <f>E67*K$5</f>
        <v>9.763200000000001</v>
      </c>
      <c r="L67" s="13">
        <f>E67*L$5</f>
        <v>3.6612000000000005</v>
      </c>
      <c r="M67" s="13">
        <f>E67*M$5</f>
        <v>15.682750200000003</v>
      </c>
      <c r="N67" s="13">
        <f>I67*J67</f>
        <v>150.91073787669293</v>
      </c>
      <c r="O67" s="13">
        <f>I67*K67</f>
        <v>9.763200000000001</v>
      </c>
      <c r="P67" s="13">
        <f>I67*L67</f>
        <v>3.6612000000000005</v>
      </c>
      <c r="Q67" s="13">
        <f>I67*M67</f>
        <v>15.682750200000003</v>
      </c>
      <c r="R67" s="730"/>
      <c r="S67" s="731"/>
      <c r="T67" s="730"/>
      <c r="U67" s="732">
        <f>SUM(R67:T67)</f>
        <v>0</v>
      </c>
      <c r="V67" s="669">
        <f>I67*U67</f>
        <v>0</v>
      </c>
      <c r="W67" s="670"/>
    </row>
    <row r="68" spans="2:23" ht="15" customHeight="1">
      <c r="B68" s="892" t="s">
        <v>63</v>
      </c>
      <c r="C68" s="893"/>
      <c r="D68" s="701">
        <v>3092</v>
      </c>
      <c r="E68" s="798">
        <f>(D68+F68)/2</f>
        <v>1855.2</v>
      </c>
      <c r="F68" s="599">
        <f>0.2*D68</f>
        <v>618.4000000000001</v>
      </c>
      <c r="G68" s="662">
        <v>20</v>
      </c>
      <c r="H68" s="800"/>
      <c r="I68" s="664">
        <v>1</v>
      </c>
      <c r="J68" s="13">
        <f>((D68-F68)*J$5/(1-(1+J$5)^-G68))+F68*J$5</f>
        <v>229.40806367489407</v>
      </c>
      <c r="K68" s="13">
        <f>E68*K$5</f>
        <v>14.841600000000001</v>
      </c>
      <c r="L68" s="13">
        <f>E68*L$5</f>
        <v>5.5656</v>
      </c>
      <c r="M68" s="13">
        <f>E68*M$5</f>
        <v>23.8402476</v>
      </c>
      <c r="N68" s="13">
        <f>I68*J68</f>
        <v>229.40806367489407</v>
      </c>
      <c r="O68" s="13">
        <f>I68*K68</f>
        <v>14.841600000000001</v>
      </c>
      <c r="P68" s="13">
        <f>I68*L68</f>
        <v>5.5656</v>
      </c>
      <c r="Q68" s="13">
        <f>I68*M68</f>
        <v>23.8402476</v>
      </c>
      <c r="R68" s="730"/>
      <c r="S68" s="731"/>
      <c r="T68" s="730"/>
      <c r="U68" s="732">
        <f>SUM(R68:T68)</f>
        <v>0</v>
      </c>
      <c r="V68" s="669">
        <f>I68*U68</f>
        <v>0</v>
      </c>
      <c r="W68" s="670"/>
    </row>
    <row r="69" spans="2:23" ht="15" customHeight="1">
      <c r="B69" s="900" t="s">
        <v>64</v>
      </c>
      <c r="C69" s="901"/>
      <c r="D69" s="673">
        <v>2500</v>
      </c>
      <c r="E69" s="674">
        <f>(D69+F69)/2</f>
        <v>1500</v>
      </c>
      <c r="F69" s="675">
        <f>0.2*D69</f>
        <v>500</v>
      </c>
      <c r="G69" s="676">
        <v>20</v>
      </c>
      <c r="H69" s="801"/>
      <c r="I69" s="677">
        <v>1</v>
      </c>
      <c r="J69" s="374">
        <f>((D69-F69)*J$5/(1-(1+J$5)^-G69))+F69*J$5</f>
        <v>185.48517438138262</v>
      </c>
      <c r="K69" s="374">
        <f>E69*K$5</f>
        <v>12</v>
      </c>
      <c r="L69" s="374">
        <f>E69*L$5</f>
        <v>4.5</v>
      </c>
      <c r="M69" s="374">
        <f>E69*M$5</f>
        <v>19.275750000000002</v>
      </c>
      <c r="N69" s="374">
        <f>I69*J69</f>
        <v>185.48517438138262</v>
      </c>
      <c r="O69" s="374">
        <f>I69*K69</f>
        <v>12</v>
      </c>
      <c r="P69" s="374">
        <f>I69*L69</f>
        <v>4.5</v>
      </c>
      <c r="Q69" s="374">
        <f>I69*M69</f>
        <v>19.275750000000002</v>
      </c>
      <c r="R69" s="719"/>
      <c r="S69" s="797"/>
      <c r="T69" s="719"/>
      <c r="U69" s="733">
        <f>SUM(R69:T69)</f>
        <v>0</v>
      </c>
      <c r="V69" s="682">
        <f>I69*U69</f>
        <v>0</v>
      </c>
      <c r="W69" s="683"/>
    </row>
    <row r="70" spans="2:23" ht="18.75" customHeight="1">
      <c r="B70" s="915" t="s">
        <v>256</v>
      </c>
      <c r="C70" s="916"/>
      <c r="D70" s="799">
        <f>SUM(D67:D69)</f>
        <v>7626</v>
      </c>
      <c r="E70" s="739">
        <f>SUM(E67:E69)</f>
        <v>4575.6</v>
      </c>
      <c r="F70" s="739">
        <f>SUM(F67:F69)</f>
        <v>1525.2</v>
      </c>
      <c r="G70" s="740">
        <v>20</v>
      </c>
      <c r="H70" s="741">
        <v>0</v>
      </c>
      <c r="I70" s="742">
        <v>1</v>
      </c>
      <c r="J70" s="739">
        <f>((D70-F70)*J$5/(1-(1+J$5)^-G70))+F70*J$5</f>
        <v>565.8039759329696</v>
      </c>
      <c r="K70" s="739">
        <f>E70*K$5</f>
        <v>36.604800000000004</v>
      </c>
      <c r="L70" s="739">
        <f>E70*L$5</f>
        <v>13.7268</v>
      </c>
      <c r="M70" s="739">
        <f>E70*M$5</f>
        <v>58.79874780000001</v>
      </c>
      <c r="N70" s="739">
        <f>I70*J70</f>
        <v>565.8039759329696</v>
      </c>
      <c r="O70" s="739">
        <f>I70*K70</f>
        <v>36.604800000000004</v>
      </c>
      <c r="P70" s="739"/>
      <c r="Q70" s="739">
        <f>I70*M70</f>
        <v>58.79874780000001</v>
      </c>
      <c r="R70" s="743">
        <f>4*80</f>
        <v>320</v>
      </c>
      <c r="S70" s="743">
        <f>32*80</f>
        <v>2560</v>
      </c>
      <c r="T70" s="743">
        <f>H70*7.5</f>
        <v>0</v>
      </c>
      <c r="U70" s="744">
        <f>SUM(R70:T70)</f>
        <v>2880</v>
      </c>
      <c r="V70" s="745">
        <f>I70*U70</f>
        <v>2880</v>
      </c>
      <c r="W70" s="746">
        <f>H70*I70</f>
        <v>0</v>
      </c>
    </row>
    <row r="71" spans="2:18" ht="20.25" customHeight="1" thickBot="1">
      <c r="B71" s="17"/>
      <c r="C71" s="17"/>
      <c r="D71" s="4"/>
      <c r="E71" s="4"/>
      <c r="F71" s="116"/>
      <c r="G71" s="117"/>
      <c r="H71"/>
      <c r="I71" s="17"/>
      <c r="J71" s="117">
        <f>J61/80</f>
        <v>0</v>
      </c>
      <c r="K71" s="3"/>
      <c r="L71" s="3"/>
      <c r="M71" s="3"/>
      <c r="N71" s="17"/>
      <c r="O71" s="1"/>
      <c r="P71" s="1"/>
      <c r="R71"/>
    </row>
    <row r="72" spans="2:23" s="498" customFormat="1" ht="79.5" customHeight="1" thickBot="1">
      <c r="B72" s="909" t="s">
        <v>263</v>
      </c>
      <c r="C72" s="910"/>
      <c r="D72" s="630" t="s">
        <v>103</v>
      </c>
      <c r="E72" s="630" t="s">
        <v>104</v>
      </c>
      <c r="F72" s="630" t="s">
        <v>105</v>
      </c>
      <c r="G72" s="631" t="s">
        <v>266</v>
      </c>
      <c r="H72" s="630" t="s">
        <v>58</v>
      </c>
      <c r="I72" s="631" t="s">
        <v>267</v>
      </c>
      <c r="J72" s="632" t="s">
        <v>597</v>
      </c>
      <c r="K72" s="632" t="s">
        <v>107</v>
      </c>
      <c r="L72" s="632" t="s">
        <v>265</v>
      </c>
      <c r="M72" s="632" t="s">
        <v>560</v>
      </c>
      <c r="N72" s="633" t="s">
        <v>597</v>
      </c>
      <c r="O72" s="634" t="s">
        <v>107</v>
      </c>
      <c r="P72" s="634" t="s">
        <v>258</v>
      </c>
      <c r="Q72" s="634" t="s">
        <v>259</v>
      </c>
      <c r="R72" s="635" t="s">
        <v>110</v>
      </c>
      <c r="S72" s="635" t="s">
        <v>262</v>
      </c>
      <c r="T72" s="636" t="s">
        <v>111</v>
      </c>
      <c r="U72" s="636" t="s">
        <v>112</v>
      </c>
      <c r="V72" s="636" t="s">
        <v>269</v>
      </c>
      <c r="W72"/>
    </row>
    <row r="73" spans="2:23" ht="12.75">
      <c r="B73" s="747" t="s">
        <v>61</v>
      </c>
      <c r="C73" s="748"/>
      <c r="D73" s="749">
        <v>5000</v>
      </c>
      <c r="E73" s="750">
        <f aca="true" t="shared" si="52" ref="E73:E81">(D73+F73)/2</f>
        <v>3000</v>
      </c>
      <c r="F73" s="751">
        <f aca="true" t="shared" si="53" ref="F73:F79">0.2*D73</f>
        <v>1000</v>
      </c>
      <c r="G73" s="752">
        <v>10</v>
      </c>
      <c r="H73" s="752">
        <v>500</v>
      </c>
      <c r="I73" s="802">
        <v>1</v>
      </c>
      <c r="J73" s="809">
        <f>((D73-F73)*$J$5/(1-(1+$J$5)^-G73))+F73*$J$5</f>
        <v>568.0182998618267</v>
      </c>
      <c r="K73" s="805">
        <v>250</v>
      </c>
      <c r="L73" s="750">
        <f aca="true" t="shared" si="54" ref="L73:L81">E73*L$5</f>
        <v>9</v>
      </c>
      <c r="M73" s="13">
        <f>E73*M$5</f>
        <v>38.551500000000004</v>
      </c>
      <c r="N73" s="296">
        <f aca="true" t="shared" si="55" ref="N73:N81">I73*J73</f>
        <v>568.0182998618267</v>
      </c>
      <c r="O73" s="296">
        <f aca="true" t="shared" si="56" ref="O73:O81">$I73*K73</f>
        <v>250</v>
      </c>
      <c r="P73" s="296">
        <f aca="true" t="shared" si="57" ref="P73:P81">$I73*L73</f>
        <v>9</v>
      </c>
      <c r="Q73" s="296">
        <f aca="true" t="shared" si="58" ref="Q73:Q81">$I73*M73</f>
        <v>38.551500000000004</v>
      </c>
      <c r="R73" s="753">
        <v>713</v>
      </c>
      <c r="S73" s="754">
        <v>14</v>
      </c>
      <c r="T73" s="755">
        <f>((H73/S73)*'Buffer input prices'!$D$17)*1.15</f>
        <v>73.92857142857143</v>
      </c>
      <c r="U73" s="755">
        <f aca="true" t="shared" si="59" ref="U73:U81">T73+R73</f>
        <v>786.9285714285714</v>
      </c>
      <c r="V73" s="756">
        <f aca="true" t="shared" si="60" ref="V73:V81">I73*U73</f>
        <v>786.9285714285714</v>
      </c>
      <c r="W73"/>
    </row>
    <row r="74" spans="2:23" ht="12.75">
      <c r="B74" s="671" t="s">
        <v>98</v>
      </c>
      <c r="C74" s="757"/>
      <c r="D74" s="701"/>
      <c r="E74" s="112">
        <f t="shared" si="52"/>
        <v>0</v>
      </c>
      <c r="F74" s="113">
        <f t="shared" si="53"/>
        <v>0</v>
      </c>
      <c r="G74" s="758">
        <v>10</v>
      </c>
      <c r="H74" s="758">
        <v>0</v>
      </c>
      <c r="I74" s="803">
        <v>0</v>
      </c>
      <c r="J74" s="809">
        <f aca="true" t="shared" si="61" ref="J74:J81">((D74-F74)*$J$5/(1-(1+$J$5)^-G74))+F74*$J$5</f>
        <v>0</v>
      </c>
      <c r="K74" s="806">
        <v>0</v>
      </c>
      <c r="L74" s="112">
        <f t="shared" si="54"/>
        <v>0</v>
      </c>
      <c r="M74" s="13">
        <f>E74*M$5</f>
        <v>0</v>
      </c>
      <c r="N74" s="13">
        <f t="shared" si="55"/>
        <v>0</v>
      </c>
      <c r="O74" s="13">
        <f t="shared" si="56"/>
        <v>0</v>
      </c>
      <c r="P74" s="13">
        <f t="shared" si="57"/>
        <v>0</v>
      </c>
      <c r="Q74" s="13">
        <f t="shared" si="58"/>
        <v>0</v>
      </c>
      <c r="R74" s="759"/>
      <c r="S74" s="760">
        <v>14</v>
      </c>
      <c r="T74" s="732">
        <f>((H74/S74)*'Buffer input prices'!$D$17)*1.15</f>
        <v>0</v>
      </c>
      <c r="U74" s="732">
        <f t="shared" si="59"/>
        <v>0</v>
      </c>
      <c r="V74" s="761">
        <f t="shared" si="60"/>
        <v>0</v>
      </c>
      <c r="W74"/>
    </row>
    <row r="75" spans="2:23" ht="12.75">
      <c r="B75" s="671" t="s">
        <v>98</v>
      </c>
      <c r="C75" s="757"/>
      <c r="D75" s="701"/>
      <c r="E75" s="112">
        <f t="shared" si="52"/>
        <v>0</v>
      </c>
      <c r="F75" s="113">
        <f t="shared" si="53"/>
        <v>0</v>
      </c>
      <c r="G75" s="758">
        <v>10</v>
      </c>
      <c r="H75" s="758">
        <v>0</v>
      </c>
      <c r="I75" s="803">
        <v>0</v>
      </c>
      <c r="J75" s="809">
        <f t="shared" si="61"/>
        <v>0</v>
      </c>
      <c r="K75" s="806">
        <v>0</v>
      </c>
      <c r="L75" s="112">
        <f t="shared" si="54"/>
        <v>0</v>
      </c>
      <c r="M75" s="13">
        <f aca="true" t="shared" si="62" ref="M75:M81">E75*M$5</f>
        <v>0</v>
      </c>
      <c r="N75" s="13">
        <f t="shared" si="55"/>
        <v>0</v>
      </c>
      <c r="O75" s="13">
        <f t="shared" si="56"/>
        <v>0</v>
      </c>
      <c r="P75" s="13">
        <f t="shared" si="57"/>
        <v>0</v>
      </c>
      <c r="Q75" s="13">
        <f t="shared" si="58"/>
        <v>0</v>
      </c>
      <c r="R75" s="759">
        <v>1000</v>
      </c>
      <c r="S75" s="760">
        <v>14</v>
      </c>
      <c r="T75" s="732">
        <f>((H75/S75)*'Buffer input prices'!$D$17)*1.15</f>
        <v>0</v>
      </c>
      <c r="U75" s="732">
        <f t="shared" si="59"/>
        <v>1000</v>
      </c>
      <c r="V75" s="761">
        <f t="shared" si="60"/>
        <v>0</v>
      </c>
      <c r="W75"/>
    </row>
    <row r="76" spans="2:23" ht="12.75">
      <c r="B76" s="671" t="s">
        <v>98</v>
      </c>
      <c r="C76" s="757"/>
      <c r="D76" s="701"/>
      <c r="E76" s="112">
        <f t="shared" si="52"/>
        <v>0</v>
      </c>
      <c r="F76" s="113">
        <f t="shared" si="53"/>
        <v>0</v>
      </c>
      <c r="G76" s="758">
        <v>10</v>
      </c>
      <c r="H76" s="758">
        <v>0</v>
      </c>
      <c r="I76" s="803">
        <v>0</v>
      </c>
      <c r="J76" s="809">
        <f t="shared" si="61"/>
        <v>0</v>
      </c>
      <c r="K76" s="806">
        <v>0</v>
      </c>
      <c r="L76" s="112">
        <f t="shared" si="54"/>
        <v>0</v>
      </c>
      <c r="M76" s="13">
        <f t="shared" si="62"/>
        <v>0</v>
      </c>
      <c r="N76" s="13">
        <f t="shared" si="55"/>
        <v>0</v>
      </c>
      <c r="O76" s="13">
        <f t="shared" si="56"/>
        <v>0</v>
      </c>
      <c r="P76" s="13">
        <f t="shared" si="57"/>
        <v>0</v>
      </c>
      <c r="Q76" s="13">
        <f t="shared" si="58"/>
        <v>0</v>
      </c>
      <c r="R76" s="759">
        <v>50</v>
      </c>
      <c r="S76" s="760">
        <v>14</v>
      </c>
      <c r="T76" s="732">
        <f>((H76/S76)*'Buffer input prices'!$D$17)*1.15</f>
        <v>0</v>
      </c>
      <c r="U76" s="732">
        <f t="shared" si="59"/>
        <v>50</v>
      </c>
      <c r="V76" s="761">
        <f t="shared" si="60"/>
        <v>0</v>
      </c>
      <c r="W76"/>
    </row>
    <row r="77" spans="2:24" ht="12.75">
      <c r="B77" s="671" t="s">
        <v>98</v>
      </c>
      <c r="C77" s="757"/>
      <c r="D77" s="701"/>
      <c r="E77" s="112">
        <f t="shared" si="52"/>
        <v>0</v>
      </c>
      <c r="F77" s="113">
        <f t="shared" si="53"/>
        <v>0</v>
      </c>
      <c r="G77" s="758">
        <v>30</v>
      </c>
      <c r="H77" s="758">
        <v>0</v>
      </c>
      <c r="I77" s="803">
        <v>0</v>
      </c>
      <c r="J77" s="809">
        <f t="shared" si="61"/>
        <v>0</v>
      </c>
      <c r="K77" s="806">
        <v>0</v>
      </c>
      <c r="L77" s="112">
        <f t="shared" si="54"/>
        <v>0</v>
      </c>
      <c r="M77" s="13">
        <f t="shared" si="62"/>
        <v>0</v>
      </c>
      <c r="N77" s="13">
        <f t="shared" si="55"/>
        <v>0</v>
      </c>
      <c r="O77" s="13">
        <f t="shared" si="56"/>
        <v>0</v>
      </c>
      <c r="P77" s="13">
        <f t="shared" si="57"/>
        <v>0</v>
      </c>
      <c r="Q77" s="13">
        <f t="shared" si="58"/>
        <v>0</v>
      </c>
      <c r="R77" s="759">
        <v>2000</v>
      </c>
      <c r="S77" s="760">
        <v>5</v>
      </c>
      <c r="T77" s="732">
        <f>((H77/S77)*'Buffer input prices'!$D$17)*1.15</f>
        <v>0</v>
      </c>
      <c r="U77" s="732">
        <f t="shared" si="59"/>
        <v>2000</v>
      </c>
      <c r="V77" s="761">
        <f t="shared" si="60"/>
        <v>0</v>
      </c>
      <c r="W77"/>
      <c r="X77" s="4"/>
    </row>
    <row r="78" spans="2:23" ht="12.75">
      <c r="B78" s="671" t="s">
        <v>98</v>
      </c>
      <c r="C78" s="757"/>
      <c r="D78" s="701"/>
      <c r="E78" s="112">
        <f t="shared" si="52"/>
        <v>0</v>
      </c>
      <c r="F78" s="113">
        <f t="shared" si="53"/>
        <v>0</v>
      </c>
      <c r="G78" s="758">
        <v>7</v>
      </c>
      <c r="H78" s="758">
        <v>0</v>
      </c>
      <c r="I78" s="803">
        <v>0</v>
      </c>
      <c r="J78" s="809">
        <f t="shared" si="61"/>
        <v>0</v>
      </c>
      <c r="K78" s="806">
        <v>0</v>
      </c>
      <c r="L78" s="112">
        <f t="shared" si="54"/>
        <v>0</v>
      </c>
      <c r="M78" s="13">
        <f t="shared" si="62"/>
        <v>0</v>
      </c>
      <c r="N78" s="13">
        <f t="shared" si="55"/>
        <v>0</v>
      </c>
      <c r="O78" s="13">
        <f t="shared" si="56"/>
        <v>0</v>
      </c>
      <c r="P78" s="13">
        <f t="shared" si="57"/>
        <v>0</v>
      </c>
      <c r="Q78" s="13">
        <f t="shared" si="58"/>
        <v>0</v>
      </c>
      <c r="R78" s="759">
        <v>319</v>
      </c>
      <c r="S78" s="760">
        <v>35</v>
      </c>
      <c r="T78" s="732">
        <f>((H78/S78)*'Buffer input prices'!$D$17)*1.15</f>
        <v>0</v>
      </c>
      <c r="U78" s="732">
        <f t="shared" si="59"/>
        <v>319</v>
      </c>
      <c r="V78" s="761">
        <f t="shared" si="60"/>
        <v>0</v>
      </c>
      <c r="W78"/>
    </row>
    <row r="79" spans="2:23" ht="12.75">
      <c r="B79" s="671" t="s">
        <v>98</v>
      </c>
      <c r="C79" s="757"/>
      <c r="D79" s="701"/>
      <c r="E79" s="112">
        <f t="shared" si="52"/>
        <v>0</v>
      </c>
      <c r="F79" s="113">
        <f t="shared" si="53"/>
        <v>0</v>
      </c>
      <c r="G79" s="663">
        <v>30</v>
      </c>
      <c r="H79" s="663">
        <v>0</v>
      </c>
      <c r="I79" s="803">
        <v>0</v>
      </c>
      <c r="J79" s="809">
        <f t="shared" si="61"/>
        <v>0</v>
      </c>
      <c r="K79" s="807">
        <v>0</v>
      </c>
      <c r="L79" s="112">
        <f t="shared" si="54"/>
        <v>0</v>
      </c>
      <c r="M79" s="13">
        <f t="shared" si="62"/>
        <v>0</v>
      </c>
      <c r="N79" s="13">
        <f t="shared" si="55"/>
        <v>0</v>
      </c>
      <c r="O79" s="13">
        <f t="shared" si="56"/>
        <v>0</v>
      </c>
      <c r="P79" s="13">
        <f t="shared" si="57"/>
        <v>0</v>
      </c>
      <c r="Q79" s="13">
        <f t="shared" si="58"/>
        <v>0</v>
      </c>
      <c r="R79" s="762">
        <v>1200</v>
      </c>
      <c r="S79" s="763">
        <v>7</v>
      </c>
      <c r="T79" s="732">
        <f>((H79/S79)*'Buffer input prices'!$D$17)*1.15</f>
        <v>0</v>
      </c>
      <c r="U79" s="732">
        <f t="shared" si="59"/>
        <v>1200</v>
      </c>
      <c r="V79" s="761">
        <f t="shared" si="60"/>
        <v>0</v>
      </c>
      <c r="W79"/>
    </row>
    <row r="80" spans="2:23" ht="12.75">
      <c r="B80" s="671" t="s">
        <v>98</v>
      </c>
      <c r="C80" s="764"/>
      <c r="D80" s="701"/>
      <c r="E80" s="112">
        <f t="shared" si="52"/>
        <v>0</v>
      </c>
      <c r="F80" s="113"/>
      <c r="G80" s="662">
        <v>10</v>
      </c>
      <c r="H80" s="765">
        <v>0</v>
      </c>
      <c r="I80" s="803">
        <v>0</v>
      </c>
      <c r="J80" s="809">
        <f t="shared" si="61"/>
        <v>0</v>
      </c>
      <c r="K80" s="807">
        <v>0</v>
      </c>
      <c r="L80" s="112">
        <f t="shared" si="54"/>
        <v>0</v>
      </c>
      <c r="M80" s="13">
        <f t="shared" si="62"/>
        <v>0</v>
      </c>
      <c r="N80" s="13">
        <f t="shared" si="55"/>
        <v>0</v>
      </c>
      <c r="O80" s="13">
        <f t="shared" si="56"/>
        <v>0</v>
      </c>
      <c r="P80" s="13">
        <f t="shared" si="57"/>
        <v>0</v>
      </c>
      <c r="Q80" s="13">
        <f t="shared" si="58"/>
        <v>0</v>
      </c>
      <c r="R80" s="766">
        <v>0</v>
      </c>
      <c r="S80" s="766">
        <v>1</v>
      </c>
      <c r="T80" s="732">
        <f>((H80/S80)*'Buffer input prices'!$D$17)*1.15</f>
        <v>0</v>
      </c>
      <c r="U80" s="732">
        <f t="shared" si="59"/>
        <v>0</v>
      </c>
      <c r="V80" s="761">
        <f t="shared" si="60"/>
        <v>0</v>
      </c>
      <c r="W80"/>
    </row>
    <row r="81" spans="2:23" ht="12.75">
      <c r="B81" s="767" t="s">
        <v>98</v>
      </c>
      <c r="C81" s="768"/>
      <c r="D81" s="673"/>
      <c r="E81" s="674">
        <f t="shared" si="52"/>
        <v>0</v>
      </c>
      <c r="F81" s="675"/>
      <c r="G81" s="676">
        <v>10</v>
      </c>
      <c r="H81" s="718">
        <v>0</v>
      </c>
      <c r="I81" s="804">
        <v>0</v>
      </c>
      <c r="J81" s="810">
        <f t="shared" si="61"/>
        <v>0</v>
      </c>
      <c r="K81" s="808">
        <v>0</v>
      </c>
      <c r="L81" s="674">
        <f t="shared" si="54"/>
        <v>0</v>
      </c>
      <c r="M81" s="374">
        <f t="shared" si="62"/>
        <v>0</v>
      </c>
      <c r="N81" s="374">
        <f t="shared" si="55"/>
        <v>0</v>
      </c>
      <c r="O81" s="374">
        <f t="shared" si="56"/>
        <v>0</v>
      </c>
      <c r="P81" s="374">
        <f t="shared" si="57"/>
        <v>0</v>
      </c>
      <c r="Q81" s="374">
        <f t="shared" si="58"/>
        <v>0</v>
      </c>
      <c r="R81" s="720">
        <v>0</v>
      </c>
      <c r="S81" s="720">
        <v>1</v>
      </c>
      <c r="T81" s="733">
        <f>((H81/S81)*'Buffer input prices'!$D$17)*1.15</f>
        <v>0</v>
      </c>
      <c r="U81" s="733">
        <f t="shared" si="59"/>
        <v>0</v>
      </c>
      <c r="V81" s="769">
        <f t="shared" si="60"/>
        <v>0</v>
      </c>
      <c r="W81"/>
    </row>
    <row r="82" spans="2:23" ht="35.25" customHeight="1" thickBot="1">
      <c r="B82" s="907" t="s">
        <v>54</v>
      </c>
      <c r="C82" s="908"/>
      <c r="D82" s="734">
        <f>SUM(D73:D81)</f>
        <v>5000</v>
      </c>
      <c r="E82" s="734">
        <f>SUM(E73:E81)</f>
        <v>3000</v>
      </c>
      <c r="F82" s="734">
        <f>SUM(F73:F81)</f>
        <v>1000</v>
      </c>
      <c r="G82" s="734"/>
      <c r="H82" s="734"/>
      <c r="I82" s="735"/>
      <c r="J82" s="734">
        <f aca="true" t="shared" si="63" ref="J82:R82">SUM(J73:J81)</f>
        <v>568.0182998618267</v>
      </c>
      <c r="K82" s="734">
        <f t="shared" si="63"/>
        <v>250</v>
      </c>
      <c r="L82" s="734">
        <f t="shared" si="63"/>
        <v>9</v>
      </c>
      <c r="M82" s="734">
        <f t="shared" si="63"/>
        <v>38.551500000000004</v>
      </c>
      <c r="N82" s="734">
        <f t="shared" si="63"/>
        <v>568.0182998618267</v>
      </c>
      <c r="O82" s="734">
        <f t="shared" si="63"/>
        <v>250</v>
      </c>
      <c r="P82" s="734">
        <f t="shared" si="63"/>
        <v>9</v>
      </c>
      <c r="Q82" s="734">
        <f t="shared" si="63"/>
        <v>38.551500000000004</v>
      </c>
      <c r="R82" s="734">
        <f t="shared" si="63"/>
        <v>5282</v>
      </c>
      <c r="S82" s="734"/>
      <c r="T82" s="734">
        <f>SUM(T73:T81)</f>
        <v>73.92857142857143</v>
      </c>
      <c r="U82" s="734">
        <f>SUM(U73:U81)</f>
        <v>5355.928571428572</v>
      </c>
      <c r="V82" s="736">
        <f>SUM(V73:V81)</f>
        <v>786.9285714285714</v>
      </c>
      <c r="W82"/>
    </row>
    <row r="83" spans="2:18" ht="22.5" customHeight="1" thickBot="1">
      <c r="B83" s="243"/>
      <c r="C83" s="243"/>
      <c r="D83" s="4"/>
      <c r="E83" s="4"/>
      <c r="F83" s="116"/>
      <c r="G83" s="117"/>
      <c r="H83" s="109"/>
      <c r="I83" s="299"/>
      <c r="J83" s="117"/>
      <c r="K83" s="3"/>
      <c r="L83" s="3"/>
      <c r="M83" s="3"/>
      <c r="N83" s="658"/>
      <c r="O83" s="658"/>
      <c r="P83" s="658"/>
      <c r="Q83" s="658"/>
      <c r="R83" s="1"/>
    </row>
    <row r="84" spans="2:18" ht="72" customHeight="1" thickBot="1">
      <c r="B84" s="909" t="s">
        <v>264</v>
      </c>
      <c r="C84" s="910"/>
      <c r="D84" s="630" t="s">
        <v>103</v>
      </c>
      <c r="E84" s="630" t="s">
        <v>104</v>
      </c>
      <c r="F84" s="630" t="s">
        <v>105</v>
      </c>
      <c r="G84" s="631" t="s">
        <v>266</v>
      </c>
      <c r="H84" s="770"/>
      <c r="I84" s="631" t="s">
        <v>267</v>
      </c>
      <c r="J84" s="632" t="s">
        <v>597</v>
      </c>
      <c r="K84" s="632" t="s">
        <v>107</v>
      </c>
      <c r="L84" s="771"/>
      <c r="M84" s="632" t="s">
        <v>560</v>
      </c>
      <c r="N84" s="633" t="s">
        <v>597</v>
      </c>
      <c r="O84" s="634" t="s">
        <v>107</v>
      </c>
      <c r="P84" s="634" t="s">
        <v>258</v>
      </c>
      <c r="Q84" s="634" t="s">
        <v>259</v>
      </c>
      <c r="R84" s="1"/>
    </row>
    <row r="85" spans="2:18" ht="12.75">
      <c r="B85" s="671" t="s">
        <v>98</v>
      </c>
      <c r="C85" s="772"/>
      <c r="D85" s="701"/>
      <c r="E85" s="114">
        <f>(D85+F85)/2</f>
        <v>0</v>
      </c>
      <c r="F85" s="113">
        <f>0.1*D85</f>
        <v>0</v>
      </c>
      <c r="G85" s="662">
        <v>1</v>
      </c>
      <c r="H85" s="666"/>
      <c r="I85" s="664">
        <v>0</v>
      </c>
      <c r="J85" s="13"/>
      <c r="K85" s="13"/>
      <c r="L85" s="773"/>
      <c r="M85" s="13"/>
      <c r="N85" s="13"/>
      <c r="O85" s="14"/>
      <c r="P85" s="14"/>
      <c r="Q85" s="298"/>
      <c r="R85" s="1"/>
    </row>
    <row r="86" spans="2:18" ht="12.75">
      <c r="B86" s="671" t="s">
        <v>98</v>
      </c>
      <c r="C86" s="764"/>
      <c r="D86" s="774"/>
      <c r="E86" s="114">
        <f>(D86+F86)/2</f>
        <v>0</v>
      </c>
      <c r="F86" s="113">
        <f>0.1*D86</f>
        <v>0</v>
      </c>
      <c r="G86" s="662">
        <v>1</v>
      </c>
      <c r="H86" s="666"/>
      <c r="I86" s="664">
        <v>0</v>
      </c>
      <c r="J86" s="13">
        <f>((D86-F86)*J$5/(1-(1+J$5)^-G86))+F86*J$5</f>
        <v>0</v>
      </c>
      <c r="K86" s="13">
        <f>E86*K$5</f>
        <v>0</v>
      </c>
      <c r="L86" s="773"/>
      <c r="M86" s="13">
        <f>E86*M$5</f>
        <v>0</v>
      </c>
      <c r="N86" s="13">
        <f>I86*J86</f>
        <v>0</v>
      </c>
      <c r="O86" s="13">
        <f aca="true" t="shared" si="64" ref="O86:Q89">$I86*K86</f>
        <v>0</v>
      </c>
      <c r="P86" s="13">
        <f t="shared" si="64"/>
        <v>0</v>
      </c>
      <c r="Q86" s="298">
        <f t="shared" si="64"/>
        <v>0</v>
      </c>
      <c r="R86" s="1"/>
    </row>
    <row r="87" spans="2:18" ht="12.75">
      <c r="B87" s="671" t="s">
        <v>98</v>
      </c>
      <c r="C87" s="764"/>
      <c r="D87" s="774"/>
      <c r="E87" s="114">
        <f>(D87+F87)/2</f>
        <v>0</v>
      </c>
      <c r="F87" s="113">
        <f>0.1*D87</f>
        <v>0</v>
      </c>
      <c r="G87" s="662">
        <v>1</v>
      </c>
      <c r="H87" s="666"/>
      <c r="I87" s="664">
        <v>0</v>
      </c>
      <c r="J87" s="13">
        <f>((D87-F87)*J$5/(1-(1+J$5)^-G87))+F87*J$5</f>
        <v>0</v>
      </c>
      <c r="K87" s="13">
        <f>E87*K$5</f>
        <v>0</v>
      </c>
      <c r="L87" s="773"/>
      <c r="M87" s="13">
        <f>E87*M$5</f>
        <v>0</v>
      </c>
      <c r="N87" s="13">
        <f>I87*J87</f>
        <v>0</v>
      </c>
      <c r="O87" s="13">
        <f t="shared" si="64"/>
        <v>0</v>
      </c>
      <c r="P87" s="13">
        <f t="shared" si="64"/>
        <v>0</v>
      </c>
      <c r="Q87" s="298">
        <f t="shared" si="64"/>
        <v>0</v>
      </c>
      <c r="R87" s="1"/>
    </row>
    <row r="88" spans="2:18" s="20" customFormat="1" ht="14.25" customHeight="1">
      <c r="B88" s="671" t="s">
        <v>98</v>
      </c>
      <c r="C88" s="764"/>
      <c r="D88" s="774"/>
      <c r="E88" s="114">
        <f>(D88+F88)/2</f>
        <v>0</v>
      </c>
      <c r="F88" s="113">
        <f>0.1*D88</f>
        <v>0</v>
      </c>
      <c r="G88" s="716">
        <v>1</v>
      </c>
      <c r="H88" s="775"/>
      <c r="I88" s="776">
        <v>0</v>
      </c>
      <c r="J88" s="13">
        <f>((D88-F88)*J$5/(1-(1+J$5)^-G88))+F88*J$5</f>
        <v>0</v>
      </c>
      <c r="K88" s="13">
        <f>E88*K$5</f>
        <v>0</v>
      </c>
      <c r="L88" s="773"/>
      <c r="M88" s="13">
        <f>E88*M$5</f>
        <v>0</v>
      </c>
      <c r="N88" s="13">
        <f>I88*J88</f>
        <v>0</v>
      </c>
      <c r="O88" s="13">
        <f t="shared" si="64"/>
        <v>0</v>
      </c>
      <c r="P88" s="13">
        <f t="shared" si="64"/>
        <v>0</v>
      </c>
      <c r="Q88" s="298">
        <f t="shared" si="64"/>
        <v>0</v>
      </c>
      <c r="R88" s="18"/>
    </row>
    <row r="89" spans="2:18" ht="12.75">
      <c r="B89" s="671" t="s">
        <v>98</v>
      </c>
      <c r="C89" s="764"/>
      <c r="D89" s="701"/>
      <c r="E89" s="114">
        <f>(D89+F89)/2</f>
        <v>0</v>
      </c>
      <c r="F89" s="113">
        <f>0.1*D89</f>
        <v>0</v>
      </c>
      <c r="G89" s="662">
        <v>1</v>
      </c>
      <c r="H89" s="666"/>
      <c r="I89" s="664">
        <v>0</v>
      </c>
      <c r="J89" s="13">
        <f>((D89-F89)*J$5/(1-(1+J$5)^-G89))+F89*J$5</f>
        <v>0</v>
      </c>
      <c r="K89" s="13">
        <f>E89*K$5</f>
        <v>0</v>
      </c>
      <c r="L89" s="773"/>
      <c r="M89" s="13">
        <f>E89*M$5</f>
        <v>0</v>
      </c>
      <c r="N89" s="13">
        <f>I89*J89</f>
        <v>0</v>
      </c>
      <c r="O89" s="13">
        <f t="shared" si="64"/>
        <v>0</v>
      </c>
      <c r="P89" s="13">
        <f t="shared" si="64"/>
        <v>0</v>
      </c>
      <c r="Q89" s="298">
        <f t="shared" si="64"/>
        <v>0</v>
      </c>
      <c r="R89" s="1"/>
    </row>
    <row r="90" spans="2:18" ht="12.75">
      <c r="B90" s="767" t="s">
        <v>598</v>
      </c>
      <c r="C90" s="400"/>
      <c r="D90" s="777">
        <v>20000</v>
      </c>
      <c r="E90" s="778">
        <f>'Farm and Buffer Assumptions'!D10*'Input list &amp; prices'!E13</f>
        <v>55000</v>
      </c>
      <c r="F90" s="675"/>
      <c r="G90" s="676"/>
      <c r="H90" s="679"/>
      <c r="I90" s="677">
        <v>1</v>
      </c>
      <c r="J90" s="374"/>
      <c r="K90" s="374"/>
      <c r="L90" s="779"/>
      <c r="M90" s="374">
        <f>'Farm and Buffer Assumptions'!D10*'Farm and Buffer Assumptions'!D13*'Input list &amp; prices'!E14</f>
        <v>141.35550000000003</v>
      </c>
      <c r="N90" s="778">
        <f>E90*I90*'Farm and Buffer Assumptions'!D14</f>
        <v>2750</v>
      </c>
      <c r="O90" s="780"/>
      <c r="P90" s="780"/>
      <c r="Q90" s="375">
        <f>M90*I90</f>
        <v>141.35550000000003</v>
      </c>
      <c r="R90" s="1"/>
    </row>
    <row r="91" spans="2:17" s="499" customFormat="1" ht="33.75" customHeight="1" thickBot="1">
      <c r="B91" s="913" t="s">
        <v>108</v>
      </c>
      <c r="C91" s="914"/>
      <c r="D91" s="781">
        <f>+D64+D82+SUM(D86:D90)</f>
        <v>54390</v>
      </c>
      <c r="E91" s="781">
        <f>+E64+E82+SUM(E86:E90)</f>
        <v>75140.905</v>
      </c>
      <c r="F91" s="781">
        <f>+F64+F82+SUM(F86:F90)</f>
        <v>5891.81</v>
      </c>
      <c r="G91" s="781"/>
      <c r="H91" s="781"/>
      <c r="I91" s="782"/>
      <c r="J91" s="781">
        <f aca="true" t="shared" si="65" ref="J91:Q91">+J64+J70+J82+SUM(J85:J90)</f>
        <v>3738.6244426807107</v>
      </c>
      <c r="K91" s="781">
        <f t="shared" si="65"/>
        <v>423.73204000000004</v>
      </c>
      <c r="L91" s="781">
        <f t="shared" si="65"/>
        <v>74.14951500000001</v>
      </c>
      <c r="M91" s="781">
        <f t="shared" si="65"/>
        <v>458.9749475025001</v>
      </c>
      <c r="N91" s="781">
        <f>+N64+N70+N82+SUM(N85:N90)</f>
        <v>6488.624442680711</v>
      </c>
      <c r="O91" s="781">
        <f t="shared" si="65"/>
        <v>423.73204000000004</v>
      </c>
      <c r="P91" s="781">
        <f t="shared" si="65"/>
        <v>60.42271500000001</v>
      </c>
      <c r="Q91" s="783">
        <f t="shared" si="65"/>
        <v>458.9749475025001</v>
      </c>
    </row>
    <row r="92" spans="14:17" ht="12.75">
      <c r="N92" s="784"/>
      <c r="O92" s="784"/>
      <c r="P92" s="784"/>
      <c r="Q92" s="784"/>
    </row>
    <row r="93" ht="12.75"/>
    <row r="94" spans="2:17" ht="18.75" customHeight="1" thickBot="1">
      <c r="B94" s="243"/>
      <c r="C94" s="243"/>
      <c r="E94" s="110"/>
      <c r="F94" s="110"/>
      <c r="G94" s="110"/>
      <c r="J94" s="110"/>
      <c r="P94" s="441"/>
      <c r="Q94" s="442"/>
    </row>
    <row r="95" spans="2:16" ht="64.5" thickBot="1">
      <c r="B95" s="911" t="s">
        <v>276</v>
      </c>
      <c r="C95" s="912"/>
      <c r="D95" s="785" t="s">
        <v>277</v>
      </c>
      <c r="E95" s="785" t="s">
        <v>278</v>
      </c>
      <c r="F95" s="785" t="s">
        <v>279</v>
      </c>
      <c r="G95" s="786" t="s">
        <v>280</v>
      </c>
      <c r="H95" s="786"/>
      <c r="I95" s="786" t="s">
        <v>281</v>
      </c>
      <c r="J95" s="243"/>
      <c r="O95" s="243"/>
      <c r="P95" s="243"/>
    </row>
    <row r="96" spans="2:10" ht="22.5" customHeight="1" thickBot="1">
      <c r="B96" s="787"/>
      <c r="C96" s="788"/>
      <c r="D96" s="789">
        <f>W64</f>
        <v>180</v>
      </c>
      <c r="E96" s="790">
        <f>'Farm and Buffer Assumptions'!D6</f>
        <v>1.15</v>
      </c>
      <c r="F96" s="822">
        <f>'Farm and Buffer Assumptions'!D7</f>
        <v>10.5</v>
      </c>
      <c r="G96" s="791">
        <f>D96*E96*F96</f>
        <v>2173.4999999999995</v>
      </c>
      <c r="H96" s="792"/>
      <c r="I96" s="793">
        <f>G96/J1</f>
        <v>108.67499999999998</v>
      </c>
      <c r="J96" s="243"/>
    </row>
    <row r="97" ht="13.5" thickBot="1"/>
    <row r="98" spans="2:5" ht="55.5" customHeight="1" thickBot="1">
      <c r="B98" s="902" t="s">
        <v>270</v>
      </c>
      <c r="C98" s="903"/>
      <c r="D98" s="785" t="s">
        <v>86</v>
      </c>
      <c r="E98" s="785" t="s">
        <v>271</v>
      </c>
    </row>
    <row r="99" spans="2:5" ht="18" customHeight="1" thickBot="1">
      <c r="B99" s="794"/>
      <c r="C99" s="629"/>
      <c r="D99" s="795">
        <f>V82+V70+V64</f>
        <v>4524.450971428571</v>
      </c>
      <c r="E99" s="796">
        <f>D99/J1</f>
        <v>226.22254857142858</v>
      </c>
    </row>
    <row r="100" spans="28:32" ht="12.75">
      <c r="AB100" s="110"/>
      <c r="AC100" s="111"/>
      <c r="AD100" s="111"/>
      <c r="AE100" s="1"/>
      <c r="AF100" s="2"/>
    </row>
    <row r="101" spans="2:32" ht="12.75">
      <c r="B101" s="10" t="s">
        <v>113</v>
      </c>
      <c r="AB101" s="2"/>
      <c r="AC101" s="1"/>
      <c r="AD101" s="1"/>
      <c r="AE101" s="1"/>
      <c r="AF101" s="2"/>
    </row>
    <row r="102" spans="25:32" ht="12.75">
      <c r="Y102" s="108"/>
      <c r="Z102" s="2"/>
      <c r="AA102" s="2"/>
      <c r="AB102" s="2"/>
      <c r="AC102" s="1"/>
      <c r="AD102" s="1"/>
      <c r="AE102" s="1"/>
      <c r="AF102" s="2"/>
    </row>
    <row r="103" ht="12.75">
      <c r="AF103" s="2"/>
    </row>
    <row r="104" ht="12.75">
      <c r="AF104" s="2"/>
    </row>
    <row r="105" spans="25:32" ht="12.75">
      <c r="Y105" s="108"/>
      <c r="Z105" s="627" t="s">
        <v>66</v>
      </c>
      <c r="AA105" s="2"/>
      <c r="AB105" s="2"/>
      <c r="AC105" s="1"/>
      <c r="AD105" s="1"/>
      <c r="AE105" s="1"/>
      <c r="AF105" s="2"/>
    </row>
    <row r="106" spans="25:32" ht="12.75">
      <c r="Y106" s="10" t="s">
        <v>113</v>
      </c>
      <c r="Z106" s="2"/>
      <c r="AA106" s="2"/>
      <c r="AB106" s="2"/>
      <c r="AC106" s="1"/>
      <c r="AD106" s="1"/>
      <c r="AE106" s="1"/>
      <c r="AF106" s="2"/>
    </row>
    <row r="107" spans="25:32" ht="12.75">
      <c r="Y107" s="1"/>
      <c r="Z107" s="2"/>
      <c r="AA107" s="2"/>
      <c r="AB107" s="2"/>
      <c r="AC107" s="1"/>
      <c r="AD107" s="1"/>
      <c r="AE107" s="1"/>
      <c r="AF107" s="2"/>
    </row>
    <row r="108" spans="25:32" ht="12.75">
      <c r="Y108" s="1"/>
      <c r="Z108" s="2"/>
      <c r="AA108" s="2"/>
      <c r="AB108" s="2"/>
      <c r="AC108" s="1"/>
      <c r="AD108" s="1"/>
      <c r="AE108" s="1"/>
      <c r="AF108" s="2"/>
    </row>
    <row r="109" spans="25:32" ht="38.25">
      <c r="Y109" s="1" t="s">
        <v>55</v>
      </c>
      <c r="Z109" s="2"/>
      <c r="AA109" s="2"/>
      <c r="AB109" s="2"/>
      <c r="AC109" s="1"/>
      <c r="AD109" s="1"/>
      <c r="AE109" s="1"/>
      <c r="AF109" s="2"/>
    </row>
    <row r="110" spans="25:32" ht="12.75">
      <c r="Y110" s="1"/>
      <c r="Z110" s="2"/>
      <c r="AA110" s="2"/>
      <c r="AB110" s="2"/>
      <c r="AC110" s="1"/>
      <c r="AD110" s="1"/>
      <c r="AE110" s="1"/>
      <c r="AF110" s="2"/>
    </row>
  </sheetData>
  <sheetProtection/>
  <mergeCells count="56">
    <mergeCell ref="B67:C67"/>
    <mergeCell ref="B68:C68"/>
    <mergeCell ref="B69:C69"/>
    <mergeCell ref="R3:W3"/>
    <mergeCell ref="B3:C3"/>
    <mergeCell ref="J3:M3"/>
    <mergeCell ref="B37:C37"/>
    <mergeCell ref="B38:C38"/>
    <mergeCell ref="B55:C55"/>
    <mergeCell ref="B56:C56"/>
    <mergeCell ref="B95:C95"/>
    <mergeCell ref="B62:C62"/>
    <mergeCell ref="B63:C63"/>
    <mergeCell ref="B52:C52"/>
    <mergeCell ref="B53:C53"/>
    <mergeCell ref="B84:C84"/>
    <mergeCell ref="B91:C91"/>
    <mergeCell ref="B66:C66"/>
    <mergeCell ref="B70:C70"/>
    <mergeCell ref="B54:C54"/>
    <mergeCell ref="B98:C98"/>
    <mergeCell ref="B60:C60"/>
    <mergeCell ref="B61:C61"/>
    <mergeCell ref="N3:Q3"/>
    <mergeCell ref="B82:C82"/>
    <mergeCell ref="B64:C64"/>
    <mergeCell ref="B39:C39"/>
    <mergeCell ref="B33:C33"/>
    <mergeCell ref="B72:C72"/>
    <mergeCell ref="B17:C17"/>
    <mergeCell ref="B57:C57"/>
    <mergeCell ref="B58:C58"/>
    <mergeCell ref="B59:C59"/>
    <mergeCell ref="B22:C22"/>
    <mergeCell ref="B34:C34"/>
    <mergeCell ref="B35:C35"/>
    <mergeCell ref="B36:C36"/>
    <mergeCell ref="B31:C31"/>
    <mergeCell ref="B32:C32"/>
    <mergeCell ref="B23:C23"/>
    <mergeCell ref="B16:C16"/>
    <mergeCell ref="B24:C24"/>
    <mergeCell ref="B18:C18"/>
    <mergeCell ref="B19:C19"/>
    <mergeCell ref="B20:C20"/>
    <mergeCell ref="B21:C21"/>
    <mergeCell ref="B1:C1"/>
    <mergeCell ref="D1:I3"/>
    <mergeCell ref="B30:C30"/>
    <mergeCell ref="B25:C25"/>
    <mergeCell ref="B26:C26"/>
    <mergeCell ref="B27:C27"/>
    <mergeCell ref="B28:C28"/>
    <mergeCell ref="B29:C29"/>
    <mergeCell ref="B15:C15"/>
    <mergeCell ref="B4:C4"/>
  </mergeCells>
  <printOptions/>
  <pageMargins left="0.5" right="0.5" top="0.75" bottom="0.75" header="0.34" footer="0.45"/>
  <pageSetup fitToHeight="1" fitToWidth="1" orientation="portrait" scale="62" r:id="rId4"/>
  <headerFooter alignWithMargins="0">
    <oddHeader>&amp;LFile: &amp;F, Sheet: &amp;A&amp;R&amp;D, &amp;T</oddHeader>
    <oddFooter>&amp;LPrepared by:
Resource Consulting</oddFooter>
  </headerFooter>
  <rowBreaks count="1" manualBreakCount="1">
    <brk id="70" min="1" max="16" man="1"/>
  </rowBreaks>
  <drawing r:id="rId3"/>
  <legacyDrawing r:id="rId2"/>
</worksheet>
</file>

<file path=xl/worksheets/sheet11.xml><?xml version="1.0" encoding="utf-8"?>
<worksheet xmlns="http://schemas.openxmlformats.org/spreadsheetml/2006/main" xmlns:r="http://schemas.openxmlformats.org/officeDocument/2006/relationships">
  <sheetPr codeName="Sheet2011"/>
  <dimension ref="A1:T57"/>
  <sheetViews>
    <sheetView zoomScalePageLayoutView="0" workbookViewId="0" topLeftCell="A1">
      <selection activeCell="A1" sqref="A1:B1"/>
    </sheetView>
  </sheetViews>
  <sheetFormatPr defaultColWidth="9.140625" defaultRowHeight="12.75"/>
  <cols>
    <col min="1" max="1" width="55.28125" style="0" customWidth="1"/>
    <col min="2" max="12" width="12.28125" style="0" customWidth="1"/>
    <col min="13" max="13" width="12.8515625" style="0" customWidth="1"/>
  </cols>
  <sheetData>
    <row r="1" spans="1:2" ht="54.75" customHeight="1">
      <c r="A1" s="924" t="s">
        <v>860</v>
      </c>
      <c r="B1" s="925"/>
    </row>
    <row r="2" spans="2:13" ht="12.75">
      <c r="B2" s="522">
        <v>2004</v>
      </c>
      <c r="C2" s="522">
        <v>2005</v>
      </c>
      <c r="D2" s="522">
        <v>2006</v>
      </c>
      <c r="E2" s="522">
        <v>2007</v>
      </c>
      <c r="F2" s="522">
        <v>2008</v>
      </c>
      <c r="G2" s="522">
        <v>2009</v>
      </c>
      <c r="H2" s="522">
        <v>2010</v>
      </c>
      <c r="I2" s="522">
        <v>2011</v>
      </c>
      <c r="J2" s="522">
        <v>2012</v>
      </c>
      <c r="K2" s="522">
        <v>2013</v>
      </c>
      <c r="L2" s="522">
        <v>2014</v>
      </c>
      <c r="M2" s="522">
        <v>2015</v>
      </c>
    </row>
    <row r="3" spans="1:12" ht="15.75">
      <c r="A3" s="620" t="s">
        <v>28</v>
      </c>
      <c r="B3" s="621"/>
      <c r="C3" s="621"/>
      <c r="D3" s="621"/>
      <c r="E3" s="621"/>
      <c r="F3" s="621"/>
      <c r="G3" s="621"/>
      <c r="H3" s="621"/>
      <c r="I3" s="621"/>
      <c r="J3" s="621"/>
      <c r="K3" s="621"/>
      <c r="L3" s="621"/>
    </row>
    <row r="4" spans="1:12" ht="12.75">
      <c r="A4" s="42" t="s">
        <v>742</v>
      </c>
      <c r="B4" s="610"/>
      <c r="C4" s="610"/>
      <c r="D4" s="610"/>
      <c r="E4" s="610"/>
      <c r="F4" s="610"/>
      <c r="G4" s="610"/>
      <c r="H4" s="610"/>
      <c r="I4" s="610"/>
      <c r="J4" s="610"/>
      <c r="K4" s="610"/>
      <c r="L4" s="610"/>
    </row>
    <row r="5" spans="1:12" ht="12.75">
      <c r="A5" s="623" t="s">
        <v>780</v>
      </c>
      <c r="B5" s="613">
        <f>'Acreage Allocation'!B7</f>
        <v>0</v>
      </c>
      <c r="C5" s="613">
        <f>'Acreage Allocation'!C7</f>
        <v>0</v>
      </c>
      <c r="D5" s="613">
        <f>'Acreage Allocation'!D7</f>
        <v>0</v>
      </c>
      <c r="E5" s="613">
        <f>'Acreage Allocation'!E7</f>
        <v>0</v>
      </c>
      <c r="F5" s="613">
        <f>'Acreage Allocation'!F7</f>
        <v>0</v>
      </c>
      <c r="G5" s="613">
        <f>'Acreage Allocation'!G7</f>
        <v>0</v>
      </c>
      <c r="H5" s="613">
        <f>'Acreage Allocation'!H7</f>
        <v>0</v>
      </c>
      <c r="I5" s="613">
        <f>'Acreage Allocation'!I7</f>
        <v>0</v>
      </c>
      <c r="J5" s="613">
        <f>'Acreage Allocation'!J7</f>
        <v>0</v>
      </c>
      <c r="K5" s="613">
        <f>'Acreage Allocation'!K7</f>
        <v>0</v>
      </c>
      <c r="L5" s="613">
        <f>'Acreage Allocation'!L7</f>
        <v>0</v>
      </c>
    </row>
    <row r="6" spans="1:12" ht="12.75">
      <c r="A6" s="623" t="s">
        <v>781</v>
      </c>
      <c r="B6" s="613">
        <f>'Acreage Allocation'!B8</f>
        <v>0</v>
      </c>
      <c r="C6" s="613">
        <f>'Acreage Allocation'!C8</f>
        <v>0</v>
      </c>
      <c r="D6" s="613">
        <f>'Acreage Allocation'!D8</f>
        <v>0</v>
      </c>
      <c r="E6" s="613">
        <f>'Acreage Allocation'!E8</f>
        <v>0</v>
      </c>
      <c r="F6" s="613">
        <f>'Acreage Allocation'!F8</f>
        <v>0</v>
      </c>
      <c r="G6" s="613">
        <f>'Acreage Allocation'!G8</f>
        <v>0</v>
      </c>
      <c r="H6" s="613">
        <f>'Acreage Allocation'!H8</f>
        <v>0</v>
      </c>
      <c r="I6" s="613">
        <f>'Acreage Allocation'!I8</f>
        <v>0</v>
      </c>
      <c r="J6" s="613">
        <f>'Acreage Allocation'!J8</f>
        <v>0</v>
      </c>
      <c r="K6" s="613">
        <f>'Acreage Allocation'!K8</f>
        <v>0</v>
      </c>
      <c r="L6" s="613">
        <f>'Acreage Allocation'!L8</f>
        <v>0</v>
      </c>
    </row>
    <row r="7" spans="1:12" ht="12.75">
      <c r="A7" s="623" t="s">
        <v>782</v>
      </c>
      <c r="B7" s="611">
        <f>'Acreage Allocation'!B9</f>
        <v>17</v>
      </c>
      <c r="C7" s="611">
        <f>'Acreage Allocation'!C9</f>
        <v>17</v>
      </c>
      <c r="D7" s="611">
        <f>'Acreage Allocation'!D9</f>
        <v>17</v>
      </c>
      <c r="E7" s="611">
        <f>'Acreage Allocation'!E9</f>
        <v>17</v>
      </c>
      <c r="F7" s="611">
        <f>'Acreage Allocation'!F9</f>
        <v>17</v>
      </c>
      <c r="G7" s="611">
        <f>'Acreage Allocation'!G9</f>
        <v>17</v>
      </c>
      <c r="H7" s="611">
        <f>'Acreage Allocation'!H9</f>
        <v>17</v>
      </c>
      <c r="I7" s="611">
        <f>'Acreage Allocation'!I9</f>
        <v>17</v>
      </c>
      <c r="J7" s="611">
        <f>'Acreage Allocation'!J9</f>
        <v>17</v>
      </c>
      <c r="K7" s="611">
        <f>'Acreage Allocation'!K9</f>
        <v>17</v>
      </c>
      <c r="L7" s="611">
        <f>'Acreage Allocation'!L9</f>
        <v>17</v>
      </c>
    </row>
    <row r="8" spans="2:12" ht="12.75">
      <c r="B8" s="508">
        <f aca="true" t="shared" si="0" ref="B8:L8">SUM(B5:B7)</f>
        <v>17</v>
      </c>
      <c r="C8" s="508">
        <f t="shared" si="0"/>
        <v>17</v>
      </c>
      <c r="D8" s="508">
        <f t="shared" si="0"/>
        <v>17</v>
      </c>
      <c r="E8" s="508">
        <f t="shared" si="0"/>
        <v>17</v>
      </c>
      <c r="F8" s="508">
        <f t="shared" si="0"/>
        <v>17</v>
      </c>
      <c r="G8" s="508">
        <f t="shared" si="0"/>
        <v>17</v>
      </c>
      <c r="H8" s="508">
        <f t="shared" si="0"/>
        <v>17</v>
      </c>
      <c r="I8" s="508">
        <f t="shared" si="0"/>
        <v>17</v>
      </c>
      <c r="J8" s="508">
        <f t="shared" si="0"/>
        <v>17</v>
      </c>
      <c r="K8" s="508">
        <f t="shared" si="0"/>
        <v>17</v>
      </c>
      <c r="L8" s="508">
        <f t="shared" si="0"/>
        <v>17</v>
      </c>
    </row>
    <row r="9" spans="2:12" ht="12.75">
      <c r="B9" s="508"/>
      <c r="C9" s="508"/>
      <c r="D9" s="508"/>
      <c r="E9" s="508"/>
      <c r="F9" s="508"/>
      <c r="G9" s="508"/>
      <c r="H9" s="508"/>
      <c r="I9" s="508"/>
      <c r="J9" s="508"/>
      <c r="K9" s="508"/>
      <c r="L9" s="508"/>
    </row>
    <row r="10" spans="1:12" ht="12.75">
      <c r="A10" s="42" t="s">
        <v>29</v>
      </c>
      <c r="B10" s="521"/>
      <c r="C10" s="521"/>
      <c r="D10" s="521"/>
      <c r="E10" s="521"/>
      <c r="F10" s="521"/>
      <c r="G10" s="521"/>
      <c r="H10" s="521"/>
      <c r="I10" s="521"/>
      <c r="J10" s="521"/>
      <c r="K10" s="521"/>
      <c r="L10" s="521"/>
    </row>
    <row r="11" spans="1:12" ht="12.75">
      <c r="A11" s="608" t="s">
        <v>780</v>
      </c>
      <c r="B11" s="812">
        <v>0</v>
      </c>
      <c r="C11" s="812">
        <v>0</v>
      </c>
      <c r="D11" s="812">
        <v>0</v>
      </c>
      <c r="E11" s="812">
        <v>0</v>
      </c>
      <c r="F11" s="812">
        <v>0</v>
      </c>
      <c r="G11" s="812">
        <v>0</v>
      </c>
      <c r="H11" s="812">
        <v>0</v>
      </c>
      <c r="I11" s="812">
        <v>0</v>
      </c>
      <c r="J11" s="812">
        <v>0</v>
      </c>
      <c r="K11" s="812">
        <v>0</v>
      </c>
      <c r="L11" s="812">
        <v>0</v>
      </c>
    </row>
    <row r="12" spans="1:12" ht="12.75">
      <c r="A12" s="608" t="s">
        <v>781</v>
      </c>
      <c r="B12" s="811">
        <v>4000</v>
      </c>
      <c r="C12" s="811">
        <v>4000</v>
      </c>
      <c r="D12" s="811">
        <v>4000</v>
      </c>
      <c r="E12" s="811">
        <v>4000</v>
      </c>
      <c r="F12" s="811">
        <v>4000</v>
      </c>
      <c r="G12" s="811">
        <v>4000</v>
      </c>
      <c r="H12" s="811">
        <v>4000</v>
      </c>
      <c r="I12" s="811">
        <v>4000</v>
      </c>
      <c r="J12" s="811">
        <v>4000</v>
      </c>
      <c r="K12" s="811">
        <v>4000</v>
      </c>
      <c r="L12" s="811">
        <v>4000</v>
      </c>
    </row>
    <row r="13" spans="1:12" ht="12.75">
      <c r="A13" s="608" t="s">
        <v>782</v>
      </c>
      <c r="B13" s="811">
        <v>8000</v>
      </c>
      <c r="C13" s="811">
        <v>8000</v>
      </c>
      <c r="D13" s="811">
        <v>8000</v>
      </c>
      <c r="E13" s="811">
        <v>8000</v>
      </c>
      <c r="F13" s="811">
        <v>8000</v>
      </c>
      <c r="G13" s="811">
        <v>8000</v>
      </c>
      <c r="H13" s="811">
        <v>8000</v>
      </c>
      <c r="I13" s="811">
        <v>8000</v>
      </c>
      <c r="J13" s="811">
        <v>8000</v>
      </c>
      <c r="K13" s="811">
        <v>8000</v>
      </c>
      <c r="L13" s="811">
        <v>8000</v>
      </c>
    </row>
    <row r="14" spans="2:12" ht="12.75">
      <c r="B14" s="508"/>
      <c r="C14" s="508"/>
      <c r="D14" s="508"/>
      <c r="E14" s="508"/>
      <c r="F14" s="508"/>
      <c r="G14" s="508"/>
      <c r="H14" s="508"/>
      <c r="I14" s="508"/>
      <c r="J14" s="508"/>
      <c r="K14" s="508"/>
      <c r="L14" s="508"/>
    </row>
    <row r="15" spans="2:12" ht="12.75">
      <c r="B15" s="508"/>
      <c r="C15" s="508"/>
      <c r="D15" s="508"/>
      <c r="E15" s="508"/>
      <c r="F15" s="508"/>
      <c r="G15" s="508"/>
      <c r="H15" s="508"/>
      <c r="I15" s="508"/>
      <c r="J15" s="508"/>
      <c r="K15" s="508"/>
      <c r="L15" s="508"/>
    </row>
    <row r="16" spans="1:12" ht="12.75">
      <c r="A16" s="42" t="s">
        <v>30</v>
      </c>
      <c r="B16" s="610">
        <f aca="true" t="shared" si="1" ref="B16:L16">B5*B11+B6*B12+B7*B13</f>
        <v>136000</v>
      </c>
      <c r="C16" s="610">
        <f t="shared" si="1"/>
        <v>136000</v>
      </c>
      <c r="D16" s="610">
        <f t="shared" si="1"/>
        <v>136000</v>
      </c>
      <c r="E16" s="610">
        <f t="shared" si="1"/>
        <v>136000</v>
      </c>
      <c r="F16" s="610">
        <f t="shared" si="1"/>
        <v>136000</v>
      </c>
      <c r="G16" s="610">
        <f t="shared" si="1"/>
        <v>136000</v>
      </c>
      <c r="H16" s="610">
        <f t="shared" si="1"/>
        <v>136000</v>
      </c>
      <c r="I16" s="610">
        <f t="shared" si="1"/>
        <v>136000</v>
      </c>
      <c r="J16" s="610">
        <f t="shared" si="1"/>
        <v>136000</v>
      </c>
      <c r="K16" s="610">
        <f t="shared" si="1"/>
        <v>136000</v>
      </c>
      <c r="L16" s="610">
        <f t="shared" si="1"/>
        <v>136000</v>
      </c>
    </row>
    <row r="17" spans="1:12" ht="12.75">
      <c r="A17" s="609" t="s">
        <v>787</v>
      </c>
      <c r="B17" s="813">
        <v>0.4</v>
      </c>
      <c r="C17" s="813">
        <v>0.4</v>
      </c>
      <c r="D17" s="813">
        <v>0.4</v>
      </c>
      <c r="E17" s="813">
        <v>0.4</v>
      </c>
      <c r="F17" s="813">
        <v>0.4</v>
      </c>
      <c r="G17" s="813">
        <v>0.4</v>
      </c>
      <c r="H17" s="813">
        <v>0.4</v>
      </c>
      <c r="I17" s="813">
        <v>0.4</v>
      </c>
      <c r="J17" s="813">
        <v>0.4</v>
      </c>
      <c r="K17" s="813">
        <v>0.4</v>
      </c>
      <c r="L17" s="813">
        <v>0.4</v>
      </c>
    </row>
    <row r="18" spans="1:12" ht="12.75">
      <c r="A18" s="609" t="s">
        <v>788</v>
      </c>
      <c r="B18" s="598">
        <f aca="true" t="shared" si="2" ref="B18:L18">1-B17</f>
        <v>0.6</v>
      </c>
      <c r="C18" s="598">
        <f t="shared" si="2"/>
        <v>0.6</v>
      </c>
      <c r="D18" s="598">
        <f t="shared" si="2"/>
        <v>0.6</v>
      </c>
      <c r="E18" s="598">
        <f t="shared" si="2"/>
        <v>0.6</v>
      </c>
      <c r="F18" s="598">
        <f t="shared" si="2"/>
        <v>0.6</v>
      </c>
      <c r="G18" s="598">
        <f t="shared" si="2"/>
        <v>0.6</v>
      </c>
      <c r="H18" s="598">
        <f t="shared" si="2"/>
        <v>0.6</v>
      </c>
      <c r="I18" s="598">
        <f t="shared" si="2"/>
        <v>0.6</v>
      </c>
      <c r="J18" s="598">
        <f t="shared" si="2"/>
        <v>0.6</v>
      </c>
      <c r="K18" s="598">
        <f t="shared" si="2"/>
        <v>0.6</v>
      </c>
      <c r="L18" s="598">
        <f t="shared" si="2"/>
        <v>0.6</v>
      </c>
    </row>
    <row r="19" spans="2:12" ht="12.75">
      <c r="B19" s="508"/>
      <c r="C19" s="508"/>
      <c r="D19" s="508"/>
      <c r="E19" s="508"/>
      <c r="F19" s="508"/>
      <c r="G19" s="508"/>
      <c r="H19" s="508"/>
      <c r="I19" s="508"/>
      <c r="J19" s="508"/>
      <c r="K19" s="508"/>
      <c r="L19" s="508"/>
    </row>
    <row r="20" ht="12.75">
      <c r="A20" s="42" t="s">
        <v>31</v>
      </c>
    </row>
    <row r="21" spans="1:12" ht="12.75">
      <c r="A21" s="609" t="s">
        <v>785</v>
      </c>
      <c r="B21" s="814">
        <v>0.52</v>
      </c>
      <c r="C21" s="814">
        <v>0.52</v>
      </c>
      <c r="D21" s="814">
        <v>0.52</v>
      </c>
      <c r="E21" s="814">
        <v>0.52</v>
      </c>
      <c r="F21" s="814">
        <v>0.52</v>
      </c>
      <c r="G21" s="814">
        <v>0.52</v>
      </c>
      <c r="H21" s="814">
        <v>0.52</v>
      </c>
      <c r="I21" s="814">
        <v>0.52</v>
      </c>
      <c r="J21" s="814">
        <v>0.52</v>
      </c>
      <c r="K21" s="814">
        <v>0.52</v>
      </c>
      <c r="L21" s="814">
        <v>0.52</v>
      </c>
    </row>
    <row r="22" spans="1:12" ht="12.75">
      <c r="A22" s="609" t="s">
        <v>786</v>
      </c>
      <c r="B22" s="814">
        <v>0.52</v>
      </c>
      <c r="C22" s="814">
        <v>0.52</v>
      </c>
      <c r="D22" s="814">
        <v>0.52</v>
      </c>
      <c r="E22" s="814">
        <v>0.52</v>
      </c>
      <c r="F22" s="814">
        <v>0.52</v>
      </c>
      <c r="G22" s="814">
        <v>0.52</v>
      </c>
      <c r="H22" s="814">
        <v>0.52</v>
      </c>
      <c r="I22" s="814">
        <v>0.52</v>
      </c>
      <c r="J22" s="814">
        <v>0.52</v>
      </c>
      <c r="K22" s="814">
        <v>0.52</v>
      </c>
      <c r="L22" s="814">
        <v>0.52</v>
      </c>
    </row>
    <row r="23" spans="2:12" ht="12.75">
      <c r="B23" s="508"/>
      <c r="C23" s="508"/>
      <c r="D23" s="508"/>
      <c r="E23" s="508"/>
      <c r="F23" s="508"/>
      <c r="G23" s="508"/>
      <c r="H23" s="508"/>
      <c r="I23" s="508"/>
      <c r="J23" s="508"/>
      <c r="K23" s="508"/>
      <c r="L23" s="508"/>
    </row>
    <row r="24" spans="1:12" s="870" customFormat="1" ht="19.5" customHeight="1">
      <c r="A24" s="868" t="s">
        <v>91</v>
      </c>
      <c r="B24" s="869">
        <f aca="true" t="shared" si="3" ref="B24:L24">B16*(B17*B21+B18*B22)</f>
        <v>70720</v>
      </c>
      <c r="C24" s="869">
        <f t="shared" si="3"/>
        <v>70720</v>
      </c>
      <c r="D24" s="869">
        <f t="shared" si="3"/>
        <v>70720</v>
      </c>
      <c r="E24" s="869">
        <f t="shared" si="3"/>
        <v>70720</v>
      </c>
      <c r="F24" s="869">
        <f t="shared" si="3"/>
        <v>70720</v>
      </c>
      <c r="G24" s="869">
        <f t="shared" si="3"/>
        <v>70720</v>
      </c>
      <c r="H24" s="869">
        <f t="shared" si="3"/>
        <v>70720</v>
      </c>
      <c r="I24" s="869">
        <f t="shared" si="3"/>
        <v>70720</v>
      </c>
      <c r="J24" s="869">
        <f t="shared" si="3"/>
        <v>70720</v>
      </c>
      <c r="K24" s="869">
        <f t="shared" si="3"/>
        <v>70720</v>
      </c>
      <c r="L24" s="869">
        <f t="shared" si="3"/>
        <v>70720</v>
      </c>
    </row>
    <row r="26" spans="1:12" ht="12.75">
      <c r="A26" s="622" t="s">
        <v>743</v>
      </c>
      <c r="B26" s="508"/>
      <c r="C26" s="508"/>
      <c r="D26" s="508"/>
      <c r="E26" s="508"/>
      <c r="F26" s="508"/>
      <c r="G26" s="508"/>
      <c r="H26" s="508"/>
      <c r="I26" s="508"/>
      <c r="J26" s="508"/>
      <c r="K26" s="508"/>
      <c r="L26" s="508"/>
    </row>
    <row r="27" spans="1:12" ht="12.75">
      <c r="A27" s="608" t="s">
        <v>780</v>
      </c>
      <c r="B27" s="612">
        <f>'Raspberry Establishment, Year 1'!$G$33</f>
        <v>2225.661</v>
      </c>
      <c r="C27" s="612">
        <f>'Raspberry Establishment, Year 1'!$G$33</f>
        <v>2225.661</v>
      </c>
      <c r="D27" s="612">
        <f>'Raspberry Establishment, Year 1'!$G$33</f>
        <v>2225.661</v>
      </c>
      <c r="E27" s="612">
        <f>'Raspberry Establishment, Year 1'!$G$33</f>
        <v>2225.661</v>
      </c>
      <c r="F27" s="612">
        <f>'Raspberry Establishment, Year 1'!$G$33</f>
        <v>2225.661</v>
      </c>
      <c r="G27" s="612">
        <f>'Raspberry Establishment, Year 1'!$G$33</f>
        <v>2225.661</v>
      </c>
      <c r="H27" s="612">
        <f>'Raspberry Establishment, Year 1'!$G$33</f>
        <v>2225.661</v>
      </c>
      <c r="I27" s="612">
        <f>'Raspberry Establishment, Year 1'!$G$33</f>
        <v>2225.661</v>
      </c>
      <c r="J27" s="612">
        <f>'Raspberry Establishment, Year 1'!$G$33</f>
        <v>2225.661</v>
      </c>
      <c r="K27" s="612">
        <f>'Raspberry Establishment, Year 1'!$G$33</f>
        <v>2225.661</v>
      </c>
      <c r="L27" s="612">
        <f>'Raspberry Establishment, Year 1'!$G$33</f>
        <v>2225.661</v>
      </c>
    </row>
    <row r="28" spans="1:12" ht="12.75">
      <c r="A28" s="608" t="s">
        <v>781</v>
      </c>
      <c r="B28" s="612">
        <f>'Raspberry Establishment, Year 2'!$G$35</f>
        <v>1606.6621</v>
      </c>
      <c r="C28" s="612">
        <f>'Raspberry Establishment, Year 2'!$G$35</f>
        <v>1606.6621</v>
      </c>
      <c r="D28" s="612">
        <f>'Raspberry Establishment, Year 2'!$G$35</f>
        <v>1606.6621</v>
      </c>
      <c r="E28" s="612">
        <f>'Raspberry Establishment, Year 2'!$G$35</f>
        <v>1606.6621</v>
      </c>
      <c r="F28" s="612">
        <f>'Raspberry Establishment, Year 2'!$G$35</f>
        <v>1606.6621</v>
      </c>
      <c r="G28" s="612">
        <f>'Raspberry Establishment, Year 2'!$G$35</f>
        <v>1606.6621</v>
      </c>
      <c r="H28" s="612">
        <f>'Raspberry Establishment, Year 2'!$G$35</f>
        <v>1606.6621</v>
      </c>
      <c r="I28" s="612">
        <f>'Raspberry Establishment, Year 2'!$G$35</f>
        <v>1606.6621</v>
      </c>
      <c r="J28" s="612">
        <f>'Raspberry Establishment, Year 2'!$G$35</f>
        <v>1606.6621</v>
      </c>
      <c r="K28" s="612">
        <f>'Raspberry Establishment, Year 2'!$G$35</f>
        <v>1606.6621</v>
      </c>
      <c r="L28" s="612">
        <f>'Raspberry Establishment, Year 2'!$G$35</f>
        <v>1606.6621</v>
      </c>
    </row>
    <row r="29" spans="1:12" ht="12.75">
      <c r="A29" s="608" t="s">
        <v>782</v>
      </c>
      <c r="B29" s="612">
        <f>'Raspberries, Year 3+'!$G$52</f>
        <v>2521.9</v>
      </c>
      <c r="C29" s="612">
        <f>'Raspberries, Year 3+'!$G$52</f>
        <v>2521.9</v>
      </c>
      <c r="D29" s="612">
        <f>'Raspberries, Year 3+'!$G$52</f>
        <v>2521.9</v>
      </c>
      <c r="E29" s="612">
        <f>'Raspberries, Year 3+'!$G$52</f>
        <v>2521.9</v>
      </c>
      <c r="F29" s="612">
        <f>'Raspberries, Year 3+'!$G$52</f>
        <v>2521.9</v>
      </c>
      <c r="G29" s="612">
        <f>'Raspberries, Year 3+'!$G$52</f>
        <v>2521.9</v>
      </c>
      <c r="H29" s="612">
        <f>'Raspberries, Year 3+'!$G$52</f>
        <v>2521.9</v>
      </c>
      <c r="I29" s="612">
        <f>'Raspberries, Year 3+'!$G$52</f>
        <v>2521.9</v>
      </c>
      <c r="J29" s="612">
        <f>'Raspberries, Year 3+'!$G$52</f>
        <v>2521.9</v>
      </c>
      <c r="K29" s="612">
        <f>'Raspberries, Year 3+'!$G$52</f>
        <v>2521.9</v>
      </c>
      <c r="L29" s="612">
        <f>'Raspberries, Year 3+'!$G$52</f>
        <v>2521.9</v>
      </c>
    </row>
    <row r="30" spans="2:12" ht="12.75">
      <c r="B30" s="508"/>
      <c r="C30" s="508"/>
      <c r="D30" s="508"/>
      <c r="E30" s="508"/>
      <c r="F30" s="508"/>
      <c r="G30" s="508"/>
      <c r="H30" s="508"/>
      <c r="I30" s="508"/>
      <c r="J30" s="508"/>
      <c r="K30" s="508"/>
      <c r="L30" s="508"/>
    </row>
    <row r="31" spans="1:12" ht="12.75">
      <c r="A31" t="s">
        <v>10</v>
      </c>
      <c r="B31" s="612">
        <f aca="true" t="shared" si="4" ref="B31:L31">B27*B5+B28*B6+B29*B7</f>
        <v>42872.3</v>
      </c>
      <c r="C31" s="612">
        <f t="shared" si="4"/>
        <v>42872.3</v>
      </c>
      <c r="D31" s="612">
        <f t="shared" si="4"/>
        <v>42872.3</v>
      </c>
      <c r="E31" s="612">
        <f t="shared" si="4"/>
        <v>42872.3</v>
      </c>
      <c r="F31" s="612">
        <f t="shared" si="4"/>
        <v>42872.3</v>
      </c>
      <c r="G31" s="612">
        <f>G27*G5+G28*G6+G29*G7</f>
        <v>42872.3</v>
      </c>
      <c r="H31" s="612">
        <f t="shared" si="4"/>
        <v>42872.3</v>
      </c>
      <c r="I31" s="612">
        <f t="shared" si="4"/>
        <v>42872.3</v>
      </c>
      <c r="J31" s="612">
        <f t="shared" si="4"/>
        <v>42872.3</v>
      </c>
      <c r="K31" s="612">
        <f t="shared" si="4"/>
        <v>42872.3</v>
      </c>
      <c r="L31" s="612">
        <f t="shared" si="4"/>
        <v>42872.3</v>
      </c>
    </row>
    <row r="32" spans="2:12" ht="12.75">
      <c r="B32" s="612"/>
      <c r="C32" s="612"/>
      <c r="D32" s="612"/>
      <c r="E32" s="612"/>
      <c r="F32" s="612"/>
      <c r="G32" s="612"/>
      <c r="H32" s="612"/>
      <c r="I32" s="612"/>
      <c r="J32" s="612"/>
      <c r="K32" s="612"/>
      <c r="L32" s="612"/>
    </row>
    <row r="33" spans="1:12" ht="12.75">
      <c r="A33" t="s">
        <v>11</v>
      </c>
      <c r="B33" s="612">
        <f>'Equipment and Investment'!$E$99</f>
        <v>226.22254857142858</v>
      </c>
      <c r="C33" s="612">
        <f>'Equipment and Investment'!$E$99</f>
        <v>226.22254857142858</v>
      </c>
      <c r="D33" s="612">
        <f>'Equipment and Investment'!$E$99</f>
        <v>226.22254857142858</v>
      </c>
      <c r="E33" s="612">
        <f>'Equipment and Investment'!$E$99</f>
        <v>226.22254857142858</v>
      </c>
      <c r="F33" s="612">
        <f>'Equipment and Investment'!$E$99</f>
        <v>226.22254857142858</v>
      </c>
      <c r="G33" s="612">
        <f>'Equipment and Investment'!$E$99</f>
        <v>226.22254857142858</v>
      </c>
      <c r="H33" s="612">
        <f>'Equipment and Investment'!$E$99</f>
        <v>226.22254857142858</v>
      </c>
      <c r="I33" s="612">
        <f>'Equipment and Investment'!$E$99</f>
        <v>226.22254857142858</v>
      </c>
      <c r="J33" s="612">
        <f>'Equipment and Investment'!$E$99</f>
        <v>226.22254857142858</v>
      </c>
      <c r="K33" s="612">
        <f>'Equipment and Investment'!$E$99</f>
        <v>226.22254857142858</v>
      </c>
      <c r="L33" s="612">
        <f>'Equipment and Investment'!$E$99</f>
        <v>226.22254857142858</v>
      </c>
    </row>
    <row r="34" spans="1:12" ht="19.5" customHeight="1">
      <c r="A34" t="s">
        <v>13</v>
      </c>
      <c r="B34" s="612">
        <f>B33*B8</f>
        <v>3845.7833257142856</v>
      </c>
      <c r="C34" s="612">
        <f aca="true" t="shared" si="5" ref="C34:L34">C33*C8</f>
        <v>3845.7833257142856</v>
      </c>
      <c r="D34" s="612">
        <f t="shared" si="5"/>
        <v>3845.7833257142856</v>
      </c>
      <c r="E34" s="612">
        <f t="shared" si="5"/>
        <v>3845.7833257142856</v>
      </c>
      <c r="F34" s="612">
        <f t="shared" si="5"/>
        <v>3845.7833257142856</v>
      </c>
      <c r="G34" s="612">
        <f t="shared" si="5"/>
        <v>3845.7833257142856</v>
      </c>
      <c r="H34" s="612">
        <f t="shared" si="5"/>
        <v>3845.7833257142856</v>
      </c>
      <c r="I34" s="612">
        <f t="shared" si="5"/>
        <v>3845.7833257142856</v>
      </c>
      <c r="J34" s="612">
        <f t="shared" si="5"/>
        <v>3845.7833257142856</v>
      </c>
      <c r="K34" s="612">
        <f t="shared" si="5"/>
        <v>3845.7833257142856</v>
      </c>
      <c r="L34" s="612">
        <f t="shared" si="5"/>
        <v>3845.7833257142856</v>
      </c>
    </row>
    <row r="35" spans="2:12" ht="12.75">
      <c r="B35" s="612"/>
      <c r="C35" s="612"/>
      <c r="D35" s="612"/>
      <c r="E35" s="612"/>
      <c r="F35" s="612"/>
      <c r="G35" s="612"/>
      <c r="H35" s="612"/>
      <c r="I35" s="612"/>
      <c r="J35" s="612"/>
      <c r="K35" s="612"/>
      <c r="L35" s="612"/>
    </row>
    <row r="36" spans="1:12" ht="12.75">
      <c r="A36" t="s">
        <v>12</v>
      </c>
      <c r="B36" s="612"/>
      <c r="C36" s="612"/>
      <c r="D36" s="612"/>
      <c r="E36" s="612"/>
      <c r="F36" s="612"/>
      <c r="G36" s="612"/>
      <c r="H36" s="612"/>
      <c r="I36" s="612"/>
      <c r="J36" s="612"/>
      <c r="K36" s="612"/>
      <c r="L36" s="612"/>
    </row>
    <row r="37" spans="1:12" ht="12.75">
      <c r="A37" s="624" t="s">
        <v>14</v>
      </c>
      <c r="B37" s="625">
        <f>'Equipment and Investment'!$N$91</f>
        <v>6488.624442680711</v>
      </c>
      <c r="C37" s="625">
        <f>'Equipment and Investment'!$N$91</f>
        <v>6488.624442680711</v>
      </c>
      <c r="D37" s="625">
        <f>'Equipment and Investment'!$N$91</f>
        <v>6488.624442680711</v>
      </c>
      <c r="E37" s="625">
        <f>'Equipment and Investment'!$N$91</f>
        <v>6488.624442680711</v>
      </c>
      <c r="F37" s="625">
        <f>'Equipment and Investment'!$N$91</f>
        <v>6488.624442680711</v>
      </c>
      <c r="G37" s="625">
        <f>'Equipment and Investment'!$N$91</f>
        <v>6488.624442680711</v>
      </c>
      <c r="H37" s="625">
        <f>'Equipment and Investment'!$N$91</f>
        <v>6488.624442680711</v>
      </c>
      <c r="I37" s="625">
        <f>'Equipment and Investment'!$N$91</f>
        <v>6488.624442680711</v>
      </c>
      <c r="J37" s="625">
        <f>'Equipment and Investment'!$N$91</f>
        <v>6488.624442680711</v>
      </c>
      <c r="K37" s="625">
        <f>'Equipment and Investment'!$N$91</f>
        <v>6488.624442680711</v>
      </c>
      <c r="L37" s="625">
        <f>'Equipment and Investment'!$N$91</f>
        <v>6488.624442680711</v>
      </c>
    </row>
    <row r="38" spans="1:12" ht="12.75">
      <c r="A38" s="624" t="s">
        <v>15</v>
      </c>
      <c r="B38" s="625">
        <f>'Equipment and Investment'!$O$91</f>
        <v>423.73204000000004</v>
      </c>
      <c r="C38" s="625">
        <f>'Equipment and Investment'!$O$91</f>
        <v>423.73204000000004</v>
      </c>
      <c r="D38" s="625">
        <f>'Equipment and Investment'!$O$91</f>
        <v>423.73204000000004</v>
      </c>
      <c r="E38" s="625">
        <f>'Equipment and Investment'!$O$91</f>
        <v>423.73204000000004</v>
      </c>
      <c r="F38" s="625">
        <f>'Equipment and Investment'!$O$91</f>
        <v>423.73204000000004</v>
      </c>
      <c r="G38" s="625">
        <f>'Equipment and Investment'!$O$91</f>
        <v>423.73204000000004</v>
      </c>
      <c r="H38" s="625">
        <f>'Equipment and Investment'!$O$91</f>
        <v>423.73204000000004</v>
      </c>
      <c r="I38" s="625">
        <f>'Equipment and Investment'!$O$91</f>
        <v>423.73204000000004</v>
      </c>
      <c r="J38" s="625">
        <f>'Equipment and Investment'!$O$91</f>
        <v>423.73204000000004</v>
      </c>
      <c r="K38" s="625">
        <f>'Equipment and Investment'!$O$91</f>
        <v>423.73204000000004</v>
      </c>
      <c r="L38" s="625">
        <f>'Equipment and Investment'!$O$91</f>
        <v>423.73204000000004</v>
      </c>
    </row>
    <row r="39" spans="1:12" ht="12.75">
      <c r="A39" s="624" t="s">
        <v>16</v>
      </c>
      <c r="B39" s="625">
        <f>'Equipment and Investment'!$P$91</f>
        <v>60.42271500000001</v>
      </c>
      <c r="C39" s="625">
        <f>'Equipment and Investment'!$P$91</f>
        <v>60.42271500000001</v>
      </c>
      <c r="D39" s="625">
        <f>'Equipment and Investment'!$P$91</f>
        <v>60.42271500000001</v>
      </c>
      <c r="E39" s="625">
        <f>'Equipment and Investment'!$P$91</f>
        <v>60.42271500000001</v>
      </c>
      <c r="F39" s="625">
        <f>'Equipment and Investment'!$P$91</f>
        <v>60.42271500000001</v>
      </c>
      <c r="G39" s="625">
        <f>'Equipment and Investment'!$P$91</f>
        <v>60.42271500000001</v>
      </c>
      <c r="H39" s="625">
        <f>'Equipment and Investment'!$P$91</f>
        <v>60.42271500000001</v>
      </c>
      <c r="I39" s="625">
        <f>'Equipment and Investment'!$P$91</f>
        <v>60.42271500000001</v>
      </c>
      <c r="J39" s="625">
        <f>'Equipment and Investment'!$P$91</f>
        <v>60.42271500000001</v>
      </c>
      <c r="K39" s="625">
        <f>'Equipment and Investment'!$P$91</f>
        <v>60.42271500000001</v>
      </c>
      <c r="L39" s="625">
        <f>'Equipment and Investment'!$P$91</f>
        <v>60.42271500000001</v>
      </c>
    </row>
    <row r="40" spans="1:12" ht="12.75">
      <c r="A40" s="624" t="s">
        <v>32</v>
      </c>
      <c r="B40" s="625">
        <f>'Equipment and Investment'!$Q$91</f>
        <v>458.9749475025001</v>
      </c>
      <c r="C40" s="625">
        <f>'Equipment and Investment'!$Q$91</f>
        <v>458.9749475025001</v>
      </c>
      <c r="D40" s="625">
        <f>'Equipment and Investment'!$Q$91</f>
        <v>458.9749475025001</v>
      </c>
      <c r="E40" s="625">
        <f>'Equipment and Investment'!$Q$91</f>
        <v>458.9749475025001</v>
      </c>
      <c r="F40" s="625">
        <f>'Equipment and Investment'!$Q$91</f>
        <v>458.9749475025001</v>
      </c>
      <c r="G40" s="625">
        <f>'Equipment and Investment'!$Q$91</f>
        <v>458.9749475025001</v>
      </c>
      <c r="H40" s="625">
        <f>'Equipment and Investment'!$Q$91</f>
        <v>458.9749475025001</v>
      </c>
      <c r="I40" s="625">
        <f>'Equipment and Investment'!$Q$91</f>
        <v>458.9749475025001</v>
      </c>
      <c r="J40" s="625">
        <f>'Equipment and Investment'!$Q$91</f>
        <v>458.9749475025001</v>
      </c>
      <c r="K40" s="625">
        <f>'Equipment and Investment'!$Q$91</f>
        <v>458.9749475025001</v>
      </c>
      <c r="L40" s="625">
        <f>'Equipment and Investment'!$Q$91</f>
        <v>458.9749475025001</v>
      </c>
    </row>
    <row r="41" spans="1:12" ht="4.5" customHeight="1">
      <c r="A41" s="624"/>
      <c r="B41" s="626"/>
      <c r="C41" s="626"/>
      <c r="D41" s="626"/>
      <c r="E41" s="626"/>
      <c r="F41" s="626"/>
      <c r="G41" s="626"/>
      <c r="H41" s="626"/>
      <c r="I41" s="626"/>
      <c r="J41" s="626"/>
      <c r="K41" s="626"/>
      <c r="L41" s="626"/>
    </row>
    <row r="42" spans="1:12" ht="12.75">
      <c r="A42" s="624" t="s">
        <v>17</v>
      </c>
      <c r="B42" s="612">
        <f>SUM(B37:B41)</f>
        <v>7431.75414518321</v>
      </c>
      <c r="C42" s="612">
        <f aca="true" t="shared" si="6" ref="C42:L42">SUM(C37:C41)</f>
        <v>7431.75414518321</v>
      </c>
      <c r="D42" s="612">
        <f t="shared" si="6"/>
        <v>7431.75414518321</v>
      </c>
      <c r="E42" s="612">
        <f t="shared" si="6"/>
        <v>7431.75414518321</v>
      </c>
      <c r="F42" s="612">
        <f t="shared" si="6"/>
        <v>7431.75414518321</v>
      </c>
      <c r="G42" s="612">
        <f t="shared" si="6"/>
        <v>7431.75414518321</v>
      </c>
      <c r="H42" s="612">
        <f t="shared" si="6"/>
        <v>7431.75414518321</v>
      </c>
      <c r="I42" s="612">
        <f t="shared" si="6"/>
        <v>7431.75414518321</v>
      </c>
      <c r="J42" s="612">
        <f t="shared" si="6"/>
        <v>7431.75414518321</v>
      </c>
      <c r="K42" s="612">
        <f t="shared" si="6"/>
        <v>7431.75414518321</v>
      </c>
      <c r="L42" s="612">
        <f t="shared" si="6"/>
        <v>7431.75414518321</v>
      </c>
    </row>
    <row r="43" spans="2:12" ht="12.75">
      <c r="B43" s="612"/>
      <c r="C43" s="612"/>
      <c r="D43" s="612"/>
      <c r="E43" s="612"/>
      <c r="F43" s="612"/>
      <c r="G43" s="612"/>
      <c r="H43" s="612"/>
      <c r="I43" s="612"/>
      <c r="J43" s="612"/>
      <c r="K43" s="612"/>
      <c r="L43" s="612"/>
    </row>
    <row r="44" spans="1:13" ht="16.5" customHeight="1">
      <c r="A44" s="871" t="s">
        <v>19</v>
      </c>
      <c r="B44" s="872">
        <f>B31+B34+B42</f>
        <v>54149.837470897495</v>
      </c>
      <c r="C44" s="872">
        <f aca="true" t="shared" si="7" ref="C44:L44">C31+C34+C42</f>
        <v>54149.837470897495</v>
      </c>
      <c r="D44" s="872">
        <f t="shared" si="7"/>
        <v>54149.837470897495</v>
      </c>
      <c r="E44" s="872">
        <f t="shared" si="7"/>
        <v>54149.837470897495</v>
      </c>
      <c r="F44" s="872">
        <f t="shared" si="7"/>
        <v>54149.837470897495</v>
      </c>
      <c r="G44" s="872">
        <f t="shared" si="7"/>
        <v>54149.837470897495</v>
      </c>
      <c r="H44" s="872">
        <f t="shared" si="7"/>
        <v>54149.837470897495</v>
      </c>
      <c r="I44" s="872">
        <f t="shared" si="7"/>
        <v>54149.837470897495</v>
      </c>
      <c r="J44" s="872">
        <f t="shared" si="7"/>
        <v>54149.837470897495</v>
      </c>
      <c r="K44" s="872">
        <f t="shared" si="7"/>
        <v>54149.837470897495</v>
      </c>
      <c r="L44" s="872">
        <f t="shared" si="7"/>
        <v>54149.837470897495</v>
      </c>
      <c r="M44" s="119"/>
    </row>
    <row r="45" spans="2:12" ht="12.75">
      <c r="B45" s="508"/>
      <c r="C45" s="508"/>
      <c r="D45" s="508"/>
      <c r="E45" s="508"/>
      <c r="F45" s="508"/>
      <c r="G45" s="508"/>
      <c r="H45" s="508"/>
      <c r="I45" s="508"/>
      <c r="J45" s="508"/>
      <c r="K45" s="508"/>
      <c r="L45" s="508"/>
    </row>
    <row r="46" ht="12.75">
      <c r="A46" s="238" t="s">
        <v>18</v>
      </c>
    </row>
    <row r="47" spans="1:12" ht="12.75">
      <c r="A47" s="624" t="s">
        <v>99</v>
      </c>
      <c r="B47" s="520">
        <f>B24*'Farm and Buffer Assumptions'!$D$4</f>
        <v>4950.400000000001</v>
      </c>
      <c r="C47" s="520">
        <f>C24*'Farm and Buffer Assumptions'!$D$4</f>
        <v>4950.400000000001</v>
      </c>
      <c r="D47" s="520">
        <f>D24*'Farm and Buffer Assumptions'!$D$4</f>
        <v>4950.400000000001</v>
      </c>
      <c r="E47" s="520">
        <f>E24*'Farm and Buffer Assumptions'!$D$4</f>
        <v>4950.400000000001</v>
      </c>
      <c r="F47" s="520">
        <f>F24*'Farm and Buffer Assumptions'!$D$4</f>
        <v>4950.400000000001</v>
      </c>
      <c r="G47" s="520">
        <f>G24*'Farm and Buffer Assumptions'!$D$4</f>
        <v>4950.400000000001</v>
      </c>
      <c r="H47" s="520">
        <f>H24*'Farm and Buffer Assumptions'!$D$4</f>
        <v>4950.400000000001</v>
      </c>
      <c r="I47" s="520">
        <f>I24*'Farm and Buffer Assumptions'!$D$4</f>
        <v>4950.400000000001</v>
      </c>
      <c r="J47" s="520">
        <f>J24*'Farm and Buffer Assumptions'!$D$4</f>
        <v>4950.400000000001</v>
      </c>
      <c r="K47" s="520">
        <f>K24*'Farm and Buffer Assumptions'!$D$4</f>
        <v>4950.400000000001</v>
      </c>
      <c r="L47" s="520">
        <f>L24*'Farm and Buffer Assumptions'!$D$4</f>
        <v>4950.400000000001</v>
      </c>
    </row>
    <row r="48" spans="1:12" ht="12.75">
      <c r="A48" s="624" t="s">
        <v>284</v>
      </c>
      <c r="B48" s="519">
        <f>'Farm and Buffer Assumptions'!$D$12*'Input list &amp; prices'!$E$15</f>
        <v>1900</v>
      </c>
      <c r="C48" s="519">
        <f>'Farm and Buffer Assumptions'!$D$12*'Input list &amp; prices'!$E$15</f>
        <v>1900</v>
      </c>
      <c r="D48" s="519">
        <f>'Farm and Buffer Assumptions'!$D$12*'Input list &amp; prices'!$E$15</f>
        <v>1900</v>
      </c>
      <c r="E48" s="519">
        <f>'Farm and Buffer Assumptions'!$D$12*'Input list &amp; prices'!$E$15</f>
        <v>1900</v>
      </c>
      <c r="F48" s="519">
        <f>'Farm and Buffer Assumptions'!$D$12*'Input list &amp; prices'!$E$15</f>
        <v>1900</v>
      </c>
      <c r="G48" s="519">
        <f>'Farm and Buffer Assumptions'!$D$12*'Input list &amp; prices'!$E$15</f>
        <v>1900</v>
      </c>
      <c r="H48" s="519">
        <f>'Farm and Buffer Assumptions'!$D$12*'Input list &amp; prices'!$E$15</f>
        <v>1900</v>
      </c>
      <c r="I48" s="519">
        <f>'Farm and Buffer Assumptions'!$D$12*'Input list &amp; prices'!$E$15</f>
        <v>1900</v>
      </c>
      <c r="J48" s="519">
        <f>'Farm and Buffer Assumptions'!$D$12*'Input list &amp; prices'!$E$15</f>
        <v>1900</v>
      </c>
      <c r="K48" s="519">
        <f>'Farm and Buffer Assumptions'!$D$12*'Input list &amp; prices'!$E$15</f>
        <v>1900</v>
      </c>
      <c r="L48" s="519">
        <f>'Farm and Buffer Assumptions'!$D$12*'Input list &amp; prices'!$E$15</f>
        <v>1900</v>
      </c>
    </row>
    <row r="49" spans="1:12" ht="15.75" customHeight="1">
      <c r="A49" s="134" t="s">
        <v>100</v>
      </c>
      <c r="B49" s="520">
        <f>B44+B47+B48</f>
        <v>61000.2374708975</v>
      </c>
      <c r="C49" s="520">
        <f aca="true" t="shared" si="8" ref="C49:H49">C44+C47+C48</f>
        <v>61000.2374708975</v>
      </c>
      <c r="D49" s="520">
        <f t="shared" si="8"/>
        <v>61000.2374708975</v>
      </c>
      <c r="E49" s="520">
        <f t="shared" si="8"/>
        <v>61000.2374708975</v>
      </c>
      <c r="F49" s="520">
        <f t="shared" si="8"/>
        <v>61000.2374708975</v>
      </c>
      <c r="G49" s="520">
        <f t="shared" si="8"/>
        <v>61000.2374708975</v>
      </c>
      <c r="H49" s="520">
        <f t="shared" si="8"/>
        <v>61000.2374708975</v>
      </c>
      <c r="I49" s="520">
        <f>I44+I47+I48</f>
        <v>61000.2374708975</v>
      </c>
      <c r="J49" s="520">
        <f>J44+J47+J48</f>
        <v>61000.2374708975</v>
      </c>
      <c r="K49" s="520">
        <f>K44+K47+K48</f>
        <v>61000.2374708975</v>
      </c>
      <c r="L49" s="520">
        <f>L44+L47+L48</f>
        <v>61000.2374708975</v>
      </c>
    </row>
    <row r="50" spans="1:20" ht="18.75" customHeight="1">
      <c r="A50" s="873" t="s">
        <v>101</v>
      </c>
      <c r="B50" s="874">
        <f>B24-B49</f>
        <v>9719.762529102503</v>
      </c>
      <c r="C50" s="874">
        <f aca="true" t="shared" si="9" ref="C50:H50">C24-C49</f>
        <v>9719.762529102503</v>
      </c>
      <c r="D50" s="874">
        <f t="shared" si="9"/>
        <v>9719.762529102503</v>
      </c>
      <c r="E50" s="874">
        <f t="shared" si="9"/>
        <v>9719.762529102503</v>
      </c>
      <c r="F50" s="874">
        <f t="shared" si="9"/>
        <v>9719.762529102503</v>
      </c>
      <c r="G50" s="874">
        <f t="shared" si="9"/>
        <v>9719.762529102503</v>
      </c>
      <c r="H50" s="874">
        <f t="shared" si="9"/>
        <v>9719.762529102503</v>
      </c>
      <c r="I50" s="874">
        <f>I24-I49</f>
        <v>9719.762529102503</v>
      </c>
      <c r="J50" s="874">
        <f>J24-J49</f>
        <v>9719.762529102503</v>
      </c>
      <c r="K50" s="874">
        <f>K24-K49</f>
        <v>9719.762529102503</v>
      </c>
      <c r="L50" s="874">
        <f>L24-L49</f>
        <v>9719.762529102503</v>
      </c>
      <c r="M50" s="875">
        <f>L50/'Farm and Buffer Assumptions'!D20</f>
        <v>242994.06322756258</v>
      </c>
      <c r="N50" s="873"/>
      <c r="O50" s="873"/>
      <c r="P50" s="873"/>
      <c r="Q50" s="873"/>
      <c r="R50" s="873"/>
      <c r="S50" s="873"/>
      <c r="T50" s="873"/>
    </row>
    <row r="51" spans="1:12" ht="12.75">
      <c r="A51" t="s">
        <v>867</v>
      </c>
      <c r="B51" s="9">
        <f>B50/B8</f>
        <v>571.7507370060296</v>
      </c>
      <c r="C51" s="9">
        <f aca="true" t="shared" si="10" ref="C51:L51">C50/C8</f>
        <v>571.7507370060296</v>
      </c>
      <c r="D51" s="9">
        <f t="shared" si="10"/>
        <v>571.7507370060296</v>
      </c>
      <c r="E51" s="9">
        <f t="shared" si="10"/>
        <v>571.7507370060296</v>
      </c>
      <c r="F51" s="9">
        <f t="shared" si="10"/>
        <v>571.7507370060296</v>
      </c>
      <c r="G51" s="9">
        <f t="shared" si="10"/>
        <v>571.7507370060296</v>
      </c>
      <c r="H51" s="9">
        <f t="shared" si="10"/>
        <v>571.7507370060296</v>
      </c>
      <c r="I51" s="9">
        <f t="shared" si="10"/>
        <v>571.7507370060296</v>
      </c>
      <c r="J51" s="9">
        <f t="shared" si="10"/>
        <v>571.7507370060296</v>
      </c>
      <c r="K51" s="9">
        <f t="shared" si="10"/>
        <v>571.7507370060296</v>
      </c>
      <c r="L51" s="9">
        <f t="shared" si="10"/>
        <v>571.7507370060296</v>
      </c>
    </row>
    <row r="53" spans="1:13" ht="12.75">
      <c r="A53" t="s">
        <v>20</v>
      </c>
      <c r="B53" s="520">
        <f>B50</f>
        <v>9719.762529102503</v>
      </c>
      <c r="C53" s="519">
        <f>C50/(1+'Farm and Buffer Assumptions'!$D$20)^(C2-$B$2)</f>
        <v>9345.925508752407</v>
      </c>
      <c r="D53" s="519">
        <f>D50/(1+'Farm and Buffer Assumptions'!$D$20)^(D2-$B$2)</f>
        <v>8986.466835338852</v>
      </c>
      <c r="E53" s="519">
        <f>E50/(1+'Farm and Buffer Assumptions'!$D$20)^(E2-$B$2)</f>
        <v>8640.833495518127</v>
      </c>
      <c r="F53" s="519">
        <f>F50/(1+'Farm and Buffer Assumptions'!$D$20)^(F2-$B$2)</f>
        <v>8308.493745690506</v>
      </c>
      <c r="G53" s="519">
        <f>G50/(1+'Farm and Buffer Assumptions'!$D$20)^(G2-$B$2)</f>
        <v>7988.936293933178</v>
      </c>
      <c r="H53" s="519">
        <f>H50/(1+'Farm and Buffer Assumptions'!$D$20)^(H2-$B$2)</f>
        <v>7681.669513397286</v>
      </c>
      <c r="I53" s="519">
        <f>I50/(1+'Farm and Buffer Assumptions'!$D$20)^(I2-$B$2)</f>
        <v>7386.22068595893</v>
      </c>
      <c r="J53" s="519">
        <f>J50/(1+'Farm and Buffer Assumptions'!$D$20)^(J2-$B$2)</f>
        <v>7102.1352749605085</v>
      </c>
      <c r="K53" s="519">
        <f>K50/(1+'Farm and Buffer Assumptions'!$D$20)^(K2-$B$2)</f>
        <v>6828.976225923565</v>
      </c>
      <c r="L53" s="519">
        <f>L50/(1+'Farm and Buffer Assumptions'!$D$20)^(L2-$B$2)</f>
        <v>6566.323294157274</v>
      </c>
      <c r="M53" s="519">
        <f>M50/(1+'Farm and Buffer Assumptions'!$D$20)^(M2-$B$2)</f>
        <v>157844.30995570373</v>
      </c>
    </row>
    <row r="55" spans="1:2" ht="12.75">
      <c r="A55" t="s">
        <v>21</v>
      </c>
      <c r="B55" s="520">
        <f>SUM(B53:M53)</f>
        <v>246400.05335843688</v>
      </c>
    </row>
    <row r="57" spans="1:2" ht="12.75">
      <c r="A57" t="s">
        <v>866</v>
      </c>
      <c r="B57" s="519">
        <f>B55*'Farm and Buffer Assumptions'!$D$20/(B8)/(1+'Farm and Buffer Assumptions'!$D$20)</f>
        <v>557.4661840688617</v>
      </c>
    </row>
  </sheetData>
  <sheetProtection/>
  <mergeCells count="1">
    <mergeCell ref="A1:B1"/>
  </mergeCells>
  <printOptions/>
  <pageMargins left="0.75" right="0.75" top="1" bottom="1" header="0.5" footer="0.5"/>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sheetPr codeName="Sheet2012"/>
  <dimension ref="A1:S60"/>
  <sheetViews>
    <sheetView zoomScale="75" zoomScaleNormal="75" zoomScalePageLayoutView="0" workbookViewId="0" topLeftCell="A1">
      <selection activeCell="A1" sqref="A1:B1"/>
    </sheetView>
  </sheetViews>
  <sheetFormatPr defaultColWidth="9.140625" defaultRowHeight="12.75"/>
  <cols>
    <col min="1" max="1" width="54.28125" style="0" customWidth="1"/>
    <col min="2" max="12" width="12.28125" style="0" customWidth="1"/>
    <col min="13" max="13" width="14.28125" style="0" customWidth="1"/>
  </cols>
  <sheetData>
    <row r="1" spans="1:2" ht="51" customHeight="1">
      <c r="A1" s="924" t="s">
        <v>859</v>
      </c>
      <c r="B1" s="925"/>
    </row>
    <row r="2" spans="2:13" ht="12.75">
      <c r="B2" s="522">
        <v>2004</v>
      </c>
      <c r="C2" s="522">
        <v>2005</v>
      </c>
      <c r="D2" s="522">
        <v>2006</v>
      </c>
      <c r="E2" s="522">
        <v>2007</v>
      </c>
      <c r="F2" s="522">
        <v>2008</v>
      </c>
      <c r="G2" s="522">
        <v>2009</v>
      </c>
      <c r="H2" s="522">
        <v>2010</v>
      </c>
      <c r="I2" s="522">
        <v>2011</v>
      </c>
      <c r="J2" s="522">
        <v>2012</v>
      </c>
      <c r="K2" s="522">
        <v>2013</v>
      </c>
      <c r="L2" s="522">
        <v>2014</v>
      </c>
      <c r="M2" s="522">
        <v>2015</v>
      </c>
    </row>
    <row r="3" spans="1:12" ht="15.75">
      <c r="A3" s="620" t="s">
        <v>28</v>
      </c>
      <c r="B3" s="621"/>
      <c r="C3" s="621"/>
      <c r="D3" s="621"/>
      <c r="E3" s="621"/>
      <c r="F3" s="621"/>
      <c r="G3" s="621"/>
      <c r="H3" s="621"/>
      <c r="I3" s="621"/>
      <c r="J3" s="621"/>
      <c r="K3" s="621"/>
      <c r="L3" s="621"/>
    </row>
    <row r="4" spans="1:12" ht="12.75">
      <c r="A4" s="42" t="s">
        <v>742</v>
      </c>
      <c r="B4" s="610"/>
      <c r="C4" s="610"/>
      <c r="D4" s="610"/>
      <c r="E4" s="610"/>
      <c r="F4" s="610"/>
      <c r="G4" s="610"/>
      <c r="H4" s="610"/>
      <c r="I4" s="610"/>
      <c r="J4" s="610"/>
      <c r="K4" s="610"/>
      <c r="L4" s="610"/>
    </row>
    <row r="5" spans="1:12" ht="12.75">
      <c r="A5" s="623" t="s">
        <v>780</v>
      </c>
      <c r="B5" s="613">
        <f>'Acreage Allocation'!B34</f>
        <v>0</v>
      </c>
      <c r="C5" s="613">
        <f>'Acreage Allocation'!C34</f>
        <v>0</v>
      </c>
      <c r="D5" s="613">
        <f>'Acreage Allocation'!D34</f>
        <v>0</v>
      </c>
      <c r="E5" s="613">
        <f>'Acreage Allocation'!E34</f>
        <v>0</v>
      </c>
      <c r="F5" s="613">
        <f>'Acreage Allocation'!F34</f>
        <v>0</v>
      </c>
      <c r="G5" s="613">
        <f>'Acreage Allocation'!G34</f>
        <v>0</v>
      </c>
      <c r="H5" s="613">
        <f>'Acreage Allocation'!H34</f>
        <v>0</v>
      </c>
      <c r="I5" s="613">
        <f>'Acreage Allocation'!I34</f>
        <v>0</v>
      </c>
      <c r="J5" s="613">
        <f>'Acreage Allocation'!J34</f>
        <v>0</v>
      </c>
      <c r="K5" s="613">
        <f>'Acreage Allocation'!K34</f>
        <v>0</v>
      </c>
      <c r="L5" s="613">
        <f>'Acreage Allocation'!L34</f>
        <v>0</v>
      </c>
    </row>
    <row r="6" spans="1:12" ht="12.75">
      <c r="A6" s="623" t="s">
        <v>781</v>
      </c>
      <c r="B6" s="613">
        <f>'Acreage Allocation'!B35</f>
        <v>0</v>
      </c>
      <c r="C6" s="613">
        <f>'Acreage Allocation'!C35</f>
        <v>0</v>
      </c>
      <c r="D6" s="613">
        <f>'Acreage Allocation'!D35</f>
        <v>0</v>
      </c>
      <c r="E6" s="613">
        <f>'Acreage Allocation'!E35</f>
        <v>0</v>
      </c>
      <c r="F6" s="613">
        <f>'Acreage Allocation'!F35</f>
        <v>0</v>
      </c>
      <c r="G6" s="613">
        <f>'Acreage Allocation'!G35</f>
        <v>0</v>
      </c>
      <c r="H6" s="613">
        <f>'Acreage Allocation'!H35</f>
        <v>0</v>
      </c>
      <c r="I6" s="613">
        <f>'Acreage Allocation'!I35</f>
        <v>0</v>
      </c>
      <c r="J6" s="613">
        <f>'Acreage Allocation'!J35</f>
        <v>0</v>
      </c>
      <c r="K6" s="613">
        <f>'Acreage Allocation'!K35</f>
        <v>0</v>
      </c>
      <c r="L6" s="613">
        <f>'Acreage Allocation'!L35</f>
        <v>0</v>
      </c>
    </row>
    <row r="7" spans="1:12" ht="12.75">
      <c r="A7" s="623" t="s">
        <v>782</v>
      </c>
      <c r="B7" s="611">
        <f>'Acreage Allocation'!B36</f>
        <v>13.556473829201103</v>
      </c>
      <c r="C7" s="611">
        <f>'Acreage Allocation'!C36</f>
        <v>13.556473829201103</v>
      </c>
      <c r="D7" s="611">
        <f>'Acreage Allocation'!D36</f>
        <v>13.556473829201103</v>
      </c>
      <c r="E7" s="611">
        <f>'Acreage Allocation'!E36</f>
        <v>13.556473829201103</v>
      </c>
      <c r="F7" s="611">
        <f>'Acreage Allocation'!F36</f>
        <v>13.556473829201103</v>
      </c>
      <c r="G7" s="611">
        <f>'Acreage Allocation'!G36</f>
        <v>13.556473829201103</v>
      </c>
      <c r="H7" s="611">
        <f>'Acreage Allocation'!H36</f>
        <v>13.556473829201103</v>
      </c>
      <c r="I7" s="611">
        <f>'Acreage Allocation'!I36</f>
        <v>13.556473829201103</v>
      </c>
      <c r="J7" s="611">
        <f>'Acreage Allocation'!J36</f>
        <v>13.556473829201103</v>
      </c>
      <c r="K7" s="611">
        <f>'Acreage Allocation'!K36</f>
        <v>13.556473829201103</v>
      </c>
      <c r="L7" s="611">
        <f>'Acreage Allocation'!L36</f>
        <v>13.556473829201103</v>
      </c>
    </row>
    <row r="8" spans="2:12" ht="12.75">
      <c r="B8" s="508">
        <f aca="true" t="shared" si="0" ref="B8:L8">SUM(B5:B7)</f>
        <v>13.556473829201103</v>
      </c>
      <c r="C8" s="508">
        <f t="shared" si="0"/>
        <v>13.556473829201103</v>
      </c>
      <c r="D8" s="508">
        <f t="shared" si="0"/>
        <v>13.556473829201103</v>
      </c>
      <c r="E8" s="508">
        <f t="shared" si="0"/>
        <v>13.556473829201103</v>
      </c>
      <c r="F8" s="508">
        <f t="shared" si="0"/>
        <v>13.556473829201103</v>
      </c>
      <c r="G8" s="508">
        <f t="shared" si="0"/>
        <v>13.556473829201103</v>
      </c>
      <c r="H8" s="508">
        <f t="shared" si="0"/>
        <v>13.556473829201103</v>
      </c>
      <c r="I8" s="508">
        <f t="shared" si="0"/>
        <v>13.556473829201103</v>
      </c>
      <c r="J8" s="508">
        <f t="shared" si="0"/>
        <v>13.556473829201103</v>
      </c>
      <c r="K8" s="508">
        <f t="shared" si="0"/>
        <v>13.556473829201103</v>
      </c>
      <c r="L8" s="508">
        <f t="shared" si="0"/>
        <v>13.556473829201103</v>
      </c>
    </row>
    <row r="9" spans="2:12" ht="12.75">
      <c r="B9" s="508"/>
      <c r="C9" s="508"/>
      <c r="D9" s="508"/>
      <c r="E9" s="508"/>
      <c r="F9" s="508"/>
      <c r="G9" s="508"/>
      <c r="H9" s="508"/>
      <c r="I9" s="508"/>
      <c r="J9" s="508"/>
      <c r="K9" s="508"/>
      <c r="L9" s="508"/>
    </row>
    <row r="10" spans="1:12" ht="12.75">
      <c r="A10" s="42" t="s">
        <v>29</v>
      </c>
      <c r="B10" s="521"/>
      <c r="C10" s="521"/>
      <c r="D10" s="521"/>
      <c r="E10" s="521"/>
      <c r="F10" s="521"/>
      <c r="G10" s="521"/>
      <c r="H10" s="521"/>
      <c r="I10" s="521"/>
      <c r="J10" s="521"/>
      <c r="K10" s="521"/>
      <c r="L10" s="521"/>
    </row>
    <row r="11" spans="1:12" ht="12.75">
      <c r="A11" s="608" t="s">
        <v>780</v>
      </c>
      <c r="B11" s="812">
        <v>0</v>
      </c>
      <c r="C11" s="812">
        <v>0</v>
      </c>
      <c r="D11" s="812">
        <v>0</v>
      </c>
      <c r="E11" s="812">
        <v>0</v>
      </c>
      <c r="F11" s="812">
        <v>0</v>
      </c>
      <c r="G11" s="812">
        <v>0</v>
      </c>
      <c r="H11" s="812">
        <v>0</v>
      </c>
      <c r="I11" s="812">
        <v>0</v>
      </c>
      <c r="J11" s="812">
        <v>0</v>
      </c>
      <c r="K11" s="812">
        <v>0</v>
      </c>
      <c r="L11" s="812">
        <v>0</v>
      </c>
    </row>
    <row r="12" spans="1:12" ht="12.75">
      <c r="A12" s="608" t="s">
        <v>781</v>
      </c>
      <c r="B12" s="811">
        <v>4000</v>
      </c>
      <c r="C12" s="811">
        <v>4000</v>
      </c>
      <c r="D12" s="811">
        <v>4000</v>
      </c>
      <c r="E12" s="811">
        <v>4000</v>
      </c>
      <c r="F12" s="811">
        <v>4000</v>
      </c>
      <c r="G12" s="811">
        <v>4000</v>
      </c>
      <c r="H12" s="811">
        <v>4000</v>
      </c>
      <c r="I12" s="811">
        <v>4000</v>
      </c>
      <c r="J12" s="811">
        <v>4000</v>
      </c>
      <c r="K12" s="811">
        <v>4000</v>
      </c>
      <c r="L12" s="811">
        <v>4000</v>
      </c>
    </row>
    <row r="13" spans="1:12" ht="12.75">
      <c r="A13" s="608" t="s">
        <v>782</v>
      </c>
      <c r="B13" s="811">
        <v>8000</v>
      </c>
      <c r="C13" s="811">
        <v>8000</v>
      </c>
      <c r="D13" s="811">
        <v>8000</v>
      </c>
      <c r="E13" s="811">
        <v>8000</v>
      </c>
      <c r="F13" s="811">
        <v>8000</v>
      </c>
      <c r="G13" s="811">
        <v>8000</v>
      </c>
      <c r="H13" s="811">
        <v>8000</v>
      </c>
      <c r="I13" s="811">
        <v>8000</v>
      </c>
      <c r="J13" s="811">
        <v>8000</v>
      </c>
      <c r="K13" s="811">
        <v>8000</v>
      </c>
      <c r="L13" s="811">
        <v>8000</v>
      </c>
    </row>
    <row r="14" spans="2:12" ht="12.75">
      <c r="B14" s="508"/>
      <c r="C14" s="508"/>
      <c r="D14" s="508"/>
      <c r="E14" s="508"/>
      <c r="F14" s="508"/>
      <c r="G14" s="508"/>
      <c r="H14" s="508"/>
      <c r="I14" s="508"/>
      <c r="J14" s="508"/>
      <c r="K14" s="508"/>
      <c r="L14" s="508"/>
    </row>
    <row r="15" spans="2:12" ht="12.75">
      <c r="B15" s="508"/>
      <c r="C15" s="508"/>
      <c r="D15" s="508"/>
      <c r="E15" s="508"/>
      <c r="F15" s="508"/>
      <c r="G15" s="508"/>
      <c r="H15" s="508"/>
      <c r="I15" s="508"/>
      <c r="J15" s="508"/>
      <c r="K15" s="508"/>
      <c r="L15" s="508"/>
    </row>
    <row r="16" spans="1:12" ht="12.75">
      <c r="A16" s="42" t="s">
        <v>30</v>
      </c>
      <c r="B16" s="610">
        <f aca="true" t="shared" si="1" ref="B16:L16">B5*B11+B6*B12+B7*B13</f>
        <v>108451.79063360882</v>
      </c>
      <c r="C16" s="610">
        <f t="shared" si="1"/>
        <v>108451.79063360882</v>
      </c>
      <c r="D16" s="610">
        <f t="shared" si="1"/>
        <v>108451.79063360882</v>
      </c>
      <c r="E16" s="610">
        <f t="shared" si="1"/>
        <v>108451.79063360882</v>
      </c>
      <c r="F16" s="610">
        <f t="shared" si="1"/>
        <v>108451.79063360882</v>
      </c>
      <c r="G16" s="610">
        <f t="shared" si="1"/>
        <v>108451.79063360882</v>
      </c>
      <c r="H16" s="610">
        <f t="shared" si="1"/>
        <v>108451.79063360882</v>
      </c>
      <c r="I16" s="610">
        <f t="shared" si="1"/>
        <v>108451.79063360882</v>
      </c>
      <c r="J16" s="610">
        <f t="shared" si="1"/>
        <v>108451.79063360882</v>
      </c>
      <c r="K16" s="610">
        <f t="shared" si="1"/>
        <v>108451.79063360882</v>
      </c>
      <c r="L16" s="610">
        <f t="shared" si="1"/>
        <v>108451.79063360882</v>
      </c>
    </row>
    <row r="17" spans="1:12" ht="12.75">
      <c r="A17" s="609" t="s">
        <v>787</v>
      </c>
      <c r="B17" s="813">
        <v>0.4</v>
      </c>
      <c r="C17" s="813">
        <v>0.4</v>
      </c>
      <c r="D17" s="813">
        <v>0.4</v>
      </c>
      <c r="E17" s="813">
        <v>0.4</v>
      </c>
      <c r="F17" s="813">
        <v>0.4</v>
      </c>
      <c r="G17" s="813">
        <v>0.4</v>
      </c>
      <c r="H17" s="813">
        <v>0.4</v>
      </c>
      <c r="I17" s="813">
        <v>0.4</v>
      </c>
      <c r="J17" s="813">
        <v>0.4</v>
      </c>
      <c r="K17" s="813">
        <v>0.4</v>
      </c>
      <c r="L17" s="813">
        <v>0.4</v>
      </c>
    </row>
    <row r="18" spans="1:12" ht="12.75">
      <c r="A18" s="609" t="s">
        <v>788</v>
      </c>
      <c r="B18" s="598">
        <f aca="true" t="shared" si="2" ref="B18:L18">1-B17</f>
        <v>0.6</v>
      </c>
      <c r="C18" s="598">
        <f t="shared" si="2"/>
        <v>0.6</v>
      </c>
      <c r="D18" s="598">
        <f t="shared" si="2"/>
        <v>0.6</v>
      </c>
      <c r="E18" s="598">
        <f t="shared" si="2"/>
        <v>0.6</v>
      </c>
      <c r="F18" s="598">
        <f t="shared" si="2"/>
        <v>0.6</v>
      </c>
      <c r="G18" s="598">
        <f t="shared" si="2"/>
        <v>0.6</v>
      </c>
      <c r="H18" s="598">
        <f t="shared" si="2"/>
        <v>0.6</v>
      </c>
      <c r="I18" s="598">
        <f t="shared" si="2"/>
        <v>0.6</v>
      </c>
      <c r="J18" s="598">
        <f t="shared" si="2"/>
        <v>0.6</v>
      </c>
      <c r="K18" s="598">
        <f t="shared" si="2"/>
        <v>0.6</v>
      </c>
      <c r="L18" s="598">
        <f t="shared" si="2"/>
        <v>0.6</v>
      </c>
    </row>
    <row r="19" spans="2:12" ht="12.75">
      <c r="B19" s="508"/>
      <c r="C19" s="508"/>
      <c r="D19" s="508"/>
      <c r="E19" s="508"/>
      <c r="F19" s="508"/>
      <c r="G19" s="508"/>
      <c r="H19" s="508"/>
      <c r="I19" s="508"/>
      <c r="J19" s="508"/>
      <c r="K19" s="508"/>
      <c r="L19" s="508"/>
    </row>
    <row r="20" ht="12.75">
      <c r="A20" s="42" t="s">
        <v>31</v>
      </c>
    </row>
    <row r="21" spans="1:12" ht="12.75">
      <c r="A21" s="609" t="s">
        <v>785</v>
      </c>
      <c r="B21" s="814">
        <v>0.52</v>
      </c>
      <c r="C21" s="814">
        <v>0.52</v>
      </c>
      <c r="D21" s="814">
        <v>0.52</v>
      </c>
      <c r="E21" s="814">
        <v>0.52</v>
      </c>
      <c r="F21" s="814">
        <v>0.52</v>
      </c>
      <c r="G21" s="814">
        <v>0.52</v>
      </c>
      <c r="H21" s="814">
        <v>0.52</v>
      </c>
      <c r="I21" s="814">
        <v>0.52</v>
      </c>
      <c r="J21" s="814">
        <v>0.52</v>
      </c>
      <c r="K21" s="814">
        <v>0.52</v>
      </c>
      <c r="L21" s="814">
        <v>0.52</v>
      </c>
    </row>
    <row r="22" spans="1:12" ht="12.75">
      <c r="A22" s="609" t="s">
        <v>786</v>
      </c>
      <c r="B22" s="814">
        <v>0.52</v>
      </c>
      <c r="C22" s="814">
        <v>0.52</v>
      </c>
      <c r="D22" s="814">
        <v>0.52</v>
      </c>
      <c r="E22" s="814">
        <v>0.52</v>
      </c>
      <c r="F22" s="814">
        <v>0.52</v>
      </c>
      <c r="G22" s="814">
        <v>0.52</v>
      </c>
      <c r="H22" s="814">
        <v>0.52</v>
      </c>
      <c r="I22" s="814">
        <v>0.52</v>
      </c>
      <c r="J22" s="814">
        <v>0.52</v>
      </c>
      <c r="K22" s="814">
        <v>0.52</v>
      </c>
      <c r="L22" s="814">
        <v>0.52</v>
      </c>
    </row>
    <row r="23" spans="2:12" ht="12.75">
      <c r="B23" s="508"/>
      <c r="C23" s="508"/>
      <c r="D23" s="508"/>
      <c r="E23" s="508"/>
      <c r="F23" s="508"/>
      <c r="G23" s="508"/>
      <c r="H23" s="508"/>
      <c r="I23" s="508"/>
      <c r="J23" s="508"/>
      <c r="K23" s="508"/>
      <c r="L23" s="508"/>
    </row>
    <row r="24" spans="1:16" ht="18.75" customHeight="1">
      <c r="A24" s="868" t="s">
        <v>91</v>
      </c>
      <c r="B24" s="869">
        <f aca="true" t="shared" si="3" ref="B24:L24">B16*(B17*B21+B18*B22)</f>
        <v>56394.93112947659</v>
      </c>
      <c r="C24" s="869">
        <f t="shared" si="3"/>
        <v>56394.93112947659</v>
      </c>
      <c r="D24" s="869">
        <f t="shared" si="3"/>
        <v>56394.93112947659</v>
      </c>
      <c r="E24" s="869">
        <f t="shared" si="3"/>
        <v>56394.93112947659</v>
      </c>
      <c r="F24" s="869">
        <f t="shared" si="3"/>
        <v>56394.93112947659</v>
      </c>
      <c r="G24" s="869">
        <f t="shared" si="3"/>
        <v>56394.93112947659</v>
      </c>
      <c r="H24" s="869">
        <f t="shared" si="3"/>
        <v>56394.93112947659</v>
      </c>
      <c r="I24" s="869">
        <f t="shared" si="3"/>
        <v>56394.93112947659</v>
      </c>
      <c r="J24" s="869">
        <f t="shared" si="3"/>
        <v>56394.93112947659</v>
      </c>
      <c r="K24" s="869">
        <f t="shared" si="3"/>
        <v>56394.93112947659</v>
      </c>
      <c r="L24" s="869">
        <f t="shared" si="3"/>
        <v>56394.93112947659</v>
      </c>
      <c r="M24" s="870"/>
      <c r="N24" s="870"/>
      <c r="O24" s="870"/>
      <c r="P24" s="870"/>
    </row>
    <row r="26" spans="1:12" ht="12.75">
      <c r="A26" s="622" t="s">
        <v>743</v>
      </c>
      <c r="B26" s="508"/>
      <c r="C26" s="508"/>
      <c r="D26" s="508"/>
      <c r="E26" s="508"/>
      <c r="F26" s="508"/>
      <c r="G26" s="508"/>
      <c r="H26" s="508"/>
      <c r="I26" s="508"/>
      <c r="J26" s="508"/>
      <c r="K26" s="508"/>
      <c r="L26" s="508"/>
    </row>
    <row r="27" spans="1:12" ht="12.75">
      <c r="A27" s="608" t="s">
        <v>780</v>
      </c>
      <c r="B27" s="612">
        <f>'Raspberry Establishment, Year 1'!$G$33</f>
        <v>2225.661</v>
      </c>
      <c r="C27" s="612">
        <f>'Raspberry Establishment, Year 1'!$G$33</f>
        <v>2225.661</v>
      </c>
      <c r="D27" s="612">
        <f>'Raspberry Establishment, Year 1'!$G$33</f>
        <v>2225.661</v>
      </c>
      <c r="E27" s="612">
        <f>'Raspberry Establishment, Year 1'!$G$33</f>
        <v>2225.661</v>
      </c>
      <c r="F27" s="612">
        <f>'Raspberry Establishment, Year 1'!$G$33</f>
        <v>2225.661</v>
      </c>
      <c r="G27" s="612">
        <f>'Raspberry Establishment, Year 1'!$G$33</f>
        <v>2225.661</v>
      </c>
      <c r="H27" s="612">
        <f>'Raspberry Establishment, Year 1'!$G$33</f>
        <v>2225.661</v>
      </c>
      <c r="I27" s="612">
        <f>'Raspberry Establishment, Year 1'!$G$33</f>
        <v>2225.661</v>
      </c>
      <c r="J27" s="612">
        <f>'Raspberry Establishment, Year 1'!$G$33</f>
        <v>2225.661</v>
      </c>
      <c r="K27" s="612">
        <f>'Raspberry Establishment, Year 1'!$G$33</f>
        <v>2225.661</v>
      </c>
      <c r="L27" s="612">
        <f>'Raspberry Establishment, Year 1'!$G$33</f>
        <v>2225.661</v>
      </c>
    </row>
    <row r="28" spans="1:12" ht="12.75">
      <c r="A28" s="608" t="s">
        <v>781</v>
      </c>
      <c r="B28" s="612">
        <f>'Raspberry Establishment, Year 2'!$G$35</f>
        <v>1606.6621</v>
      </c>
      <c r="C28" s="612">
        <f>'Raspberry Establishment, Year 2'!$G$35</f>
        <v>1606.6621</v>
      </c>
      <c r="D28" s="612">
        <f>'Raspberry Establishment, Year 2'!$G$35</f>
        <v>1606.6621</v>
      </c>
      <c r="E28" s="612">
        <f>'Raspberry Establishment, Year 2'!$G$35</f>
        <v>1606.6621</v>
      </c>
      <c r="F28" s="612">
        <f>'Raspberry Establishment, Year 2'!$G$35</f>
        <v>1606.6621</v>
      </c>
      <c r="G28" s="612">
        <f>'Raspberry Establishment, Year 2'!$G$35</f>
        <v>1606.6621</v>
      </c>
      <c r="H28" s="612">
        <f>'Raspberry Establishment, Year 2'!$G$35</f>
        <v>1606.6621</v>
      </c>
      <c r="I28" s="612">
        <f>'Raspberry Establishment, Year 2'!$G$35</f>
        <v>1606.6621</v>
      </c>
      <c r="J28" s="612">
        <f>'Raspberry Establishment, Year 2'!$G$35</f>
        <v>1606.6621</v>
      </c>
      <c r="K28" s="612">
        <f>'Raspberry Establishment, Year 2'!$G$35</f>
        <v>1606.6621</v>
      </c>
      <c r="L28" s="612">
        <f>'Raspberry Establishment, Year 2'!$G$35</f>
        <v>1606.6621</v>
      </c>
    </row>
    <row r="29" spans="1:12" ht="12.75">
      <c r="A29" s="608" t="s">
        <v>782</v>
      </c>
      <c r="B29" s="612">
        <f>'Raspberries, Year 3+'!$G$52</f>
        <v>2521.9</v>
      </c>
      <c r="C29" s="612">
        <f>'Raspberries, Year 3+'!$G$52</f>
        <v>2521.9</v>
      </c>
      <c r="D29" s="612">
        <f>'Raspberries, Year 3+'!$G$52</f>
        <v>2521.9</v>
      </c>
      <c r="E29" s="612">
        <f>'Raspberries, Year 3+'!$G$52</f>
        <v>2521.9</v>
      </c>
      <c r="F29" s="612">
        <f>'Raspberries, Year 3+'!$G$52</f>
        <v>2521.9</v>
      </c>
      <c r="G29" s="612">
        <f>'Raspberries, Year 3+'!$G$52</f>
        <v>2521.9</v>
      </c>
      <c r="H29" s="612">
        <f>'Raspberries, Year 3+'!$G$52</f>
        <v>2521.9</v>
      </c>
      <c r="I29" s="612">
        <f>'Raspberries, Year 3+'!$G$52</f>
        <v>2521.9</v>
      </c>
      <c r="J29" s="612">
        <f>'Raspberries, Year 3+'!$G$52</f>
        <v>2521.9</v>
      </c>
      <c r="K29" s="612">
        <f>'Raspberries, Year 3+'!$G$52</f>
        <v>2521.9</v>
      </c>
      <c r="L29" s="612">
        <f>'Raspberries, Year 3+'!$G$52</f>
        <v>2521.9</v>
      </c>
    </row>
    <row r="30" spans="2:12" ht="12.75">
      <c r="B30" s="508"/>
      <c r="C30" s="508"/>
      <c r="D30" s="508"/>
      <c r="E30" s="508"/>
      <c r="F30" s="508"/>
      <c r="G30" s="508"/>
      <c r="H30" s="508"/>
      <c r="I30" s="508"/>
      <c r="J30" s="508"/>
      <c r="K30" s="508"/>
      <c r="L30" s="508"/>
    </row>
    <row r="31" spans="1:12" ht="12.75">
      <c r="A31" t="s">
        <v>10</v>
      </c>
      <c r="B31" s="612">
        <f aca="true" t="shared" si="4" ref="B31:L31">B27*B5+B28*B6+B29*B7</f>
        <v>34188.071349862264</v>
      </c>
      <c r="C31" s="612">
        <f t="shared" si="4"/>
        <v>34188.071349862264</v>
      </c>
      <c r="D31" s="612">
        <f t="shared" si="4"/>
        <v>34188.071349862264</v>
      </c>
      <c r="E31" s="612">
        <f t="shared" si="4"/>
        <v>34188.071349862264</v>
      </c>
      <c r="F31" s="612">
        <f t="shared" si="4"/>
        <v>34188.071349862264</v>
      </c>
      <c r="G31" s="612">
        <f t="shared" si="4"/>
        <v>34188.071349862264</v>
      </c>
      <c r="H31" s="612">
        <f t="shared" si="4"/>
        <v>34188.071349862264</v>
      </c>
      <c r="I31" s="612">
        <f t="shared" si="4"/>
        <v>34188.071349862264</v>
      </c>
      <c r="J31" s="612">
        <f t="shared" si="4"/>
        <v>34188.071349862264</v>
      </c>
      <c r="K31" s="612">
        <f t="shared" si="4"/>
        <v>34188.071349862264</v>
      </c>
      <c r="L31" s="612">
        <f t="shared" si="4"/>
        <v>34188.071349862264</v>
      </c>
    </row>
    <row r="32" spans="2:12" ht="12.75">
      <c r="B32" s="612"/>
      <c r="C32" s="612"/>
      <c r="D32" s="612"/>
      <c r="E32" s="612"/>
      <c r="F32" s="612"/>
      <c r="G32" s="612"/>
      <c r="H32" s="612"/>
      <c r="I32" s="612"/>
      <c r="J32" s="612"/>
      <c r="K32" s="612"/>
      <c r="L32" s="612"/>
    </row>
    <row r="33" spans="1:12" ht="12.75">
      <c r="A33" t="s">
        <v>11</v>
      </c>
      <c r="B33" s="612">
        <f>'Equipment and Investment'!$E$99</f>
        <v>226.22254857142858</v>
      </c>
      <c r="C33" s="612">
        <f>'Equipment and Investment'!$E$99</f>
        <v>226.22254857142858</v>
      </c>
      <c r="D33" s="612">
        <f>'Equipment and Investment'!$E$99</f>
        <v>226.22254857142858</v>
      </c>
      <c r="E33" s="612">
        <f>'Equipment and Investment'!$E$99</f>
        <v>226.22254857142858</v>
      </c>
      <c r="F33" s="612">
        <f>'Equipment and Investment'!$E$99</f>
        <v>226.22254857142858</v>
      </c>
      <c r="G33" s="612">
        <f>'Equipment and Investment'!$E$99</f>
        <v>226.22254857142858</v>
      </c>
      <c r="H33" s="612">
        <f>'Equipment and Investment'!$E$99</f>
        <v>226.22254857142858</v>
      </c>
      <c r="I33" s="612">
        <f>'Equipment and Investment'!$E$99</f>
        <v>226.22254857142858</v>
      </c>
      <c r="J33" s="612">
        <f>'Equipment and Investment'!$E$99</f>
        <v>226.22254857142858</v>
      </c>
      <c r="K33" s="612">
        <f>'Equipment and Investment'!$E$99</f>
        <v>226.22254857142858</v>
      </c>
      <c r="L33" s="612">
        <f>'Equipment and Investment'!$E$99</f>
        <v>226.22254857142858</v>
      </c>
    </row>
    <row r="34" spans="1:12" ht="12.75">
      <c r="A34" t="s">
        <v>13</v>
      </c>
      <c r="B34" s="612">
        <f aca="true" t="shared" si="5" ref="B34:L34">B33*B8</f>
        <v>3066.780059283747</v>
      </c>
      <c r="C34" s="612">
        <f t="shared" si="5"/>
        <v>3066.780059283747</v>
      </c>
      <c r="D34" s="612">
        <f t="shared" si="5"/>
        <v>3066.780059283747</v>
      </c>
      <c r="E34" s="612">
        <f t="shared" si="5"/>
        <v>3066.780059283747</v>
      </c>
      <c r="F34" s="612">
        <f t="shared" si="5"/>
        <v>3066.780059283747</v>
      </c>
      <c r="G34" s="612">
        <f t="shared" si="5"/>
        <v>3066.780059283747</v>
      </c>
      <c r="H34" s="612">
        <f t="shared" si="5"/>
        <v>3066.780059283747</v>
      </c>
      <c r="I34" s="612">
        <f t="shared" si="5"/>
        <v>3066.780059283747</v>
      </c>
      <c r="J34" s="612">
        <f t="shared" si="5"/>
        <v>3066.780059283747</v>
      </c>
      <c r="K34" s="612">
        <f t="shared" si="5"/>
        <v>3066.780059283747</v>
      </c>
      <c r="L34" s="612">
        <f t="shared" si="5"/>
        <v>3066.780059283747</v>
      </c>
    </row>
    <row r="35" spans="2:12" ht="12.75">
      <c r="B35" s="612"/>
      <c r="C35" s="612"/>
      <c r="D35" s="612"/>
      <c r="E35" s="612"/>
      <c r="F35" s="612"/>
      <c r="G35" s="612"/>
      <c r="H35" s="612"/>
      <c r="I35" s="612"/>
      <c r="J35" s="612"/>
      <c r="K35" s="612"/>
      <c r="L35" s="612"/>
    </row>
    <row r="36" spans="1:12" ht="12.75">
      <c r="A36" t="s">
        <v>12</v>
      </c>
      <c r="B36" s="612"/>
      <c r="C36" s="612"/>
      <c r="D36" s="612"/>
      <c r="E36" s="612"/>
      <c r="F36" s="612"/>
      <c r="G36" s="612"/>
      <c r="H36" s="612"/>
      <c r="I36" s="612"/>
      <c r="J36" s="612"/>
      <c r="K36" s="612"/>
      <c r="L36" s="612"/>
    </row>
    <row r="37" spans="1:12" ht="12.75">
      <c r="A37" s="624" t="s">
        <v>14</v>
      </c>
      <c r="B37" s="625">
        <f>'Equipment and Investment'!$N$91</f>
        <v>6488.624442680711</v>
      </c>
      <c r="C37" s="625">
        <f>'Equipment and Investment'!$N$91</f>
        <v>6488.624442680711</v>
      </c>
      <c r="D37" s="625">
        <f>'Equipment and Investment'!$N$91</f>
        <v>6488.624442680711</v>
      </c>
      <c r="E37" s="625">
        <f>'Equipment and Investment'!$N$91</f>
        <v>6488.624442680711</v>
      </c>
      <c r="F37" s="625">
        <f>'Equipment and Investment'!$N$91</f>
        <v>6488.624442680711</v>
      </c>
      <c r="G37" s="625">
        <f>'Equipment and Investment'!$N$91</f>
        <v>6488.624442680711</v>
      </c>
      <c r="H37" s="625">
        <f>'Equipment and Investment'!$N$91</f>
        <v>6488.624442680711</v>
      </c>
      <c r="I37" s="625">
        <f>'Equipment and Investment'!$N$91</f>
        <v>6488.624442680711</v>
      </c>
      <c r="J37" s="625">
        <f>'Equipment and Investment'!$N$91</f>
        <v>6488.624442680711</v>
      </c>
      <c r="K37" s="625">
        <f>'Equipment and Investment'!$N$91</f>
        <v>6488.624442680711</v>
      </c>
      <c r="L37" s="625">
        <f>'Equipment and Investment'!$N$91</f>
        <v>6488.624442680711</v>
      </c>
    </row>
    <row r="38" spans="1:12" ht="12.75">
      <c r="A38" s="624" t="s">
        <v>15</v>
      </c>
      <c r="B38" s="625">
        <f>'Equipment and Investment'!$O$91</f>
        <v>423.73204000000004</v>
      </c>
      <c r="C38" s="625">
        <f>'Equipment and Investment'!$O$91</f>
        <v>423.73204000000004</v>
      </c>
      <c r="D38" s="625">
        <f>'Equipment and Investment'!$O$91</f>
        <v>423.73204000000004</v>
      </c>
      <c r="E38" s="625">
        <f>'Equipment and Investment'!$O$91</f>
        <v>423.73204000000004</v>
      </c>
      <c r="F38" s="625">
        <f>'Equipment and Investment'!$O$91</f>
        <v>423.73204000000004</v>
      </c>
      <c r="G38" s="625">
        <f>'Equipment and Investment'!$O$91</f>
        <v>423.73204000000004</v>
      </c>
      <c r="H38" s="625">
        <f>'Equipment and Investment'!$O$91</f>
        <v>423.73204000000004</v>
      </c>
      <c r="I38" s="625">
        <f>'Equipment and Investment'!$O$91</f>
        <v>423.73204000000004</v>
      </c>
      <c r="J38" s="625">
        <f>'Equipment and Investment'!$O$91</f>
        <v>423.73204000000004</v>
      </c>
      <c r="K38" s="625">
        <f>'Equipment and Investment'!$O$91</f>
        <v>423.73204000000004</v>
      </c>
      <c r="L38" s="625">
        <f>'Equipment and Investment'!$O$91</f>
        <v>423.73204000000004</v>
      </c>
    </row>
    <row r="39" spans="1:12" ht="12.75">
      <c r="A39" s="624" t="s">
        <v>16</v>
      </c>
      <c r="B39" s="625">
        <f>'Equipment and Investment'!$P$91</f>
        <v>60.42271500000001</v>
      </c>
      <c r="C39" s="625">
        <f>'Equipment and Investment'!$P$91</f>
        <v>60.42271500000001</v>
      </c>
      <c r="D39" s="625">
        <f>'Equipment and Investment'!$P$91</f>
        <v>60.42271500000001</v>
      </c>
      <c r="E39" s="625">
        <f>'Equipment and Investment'!$P$91</f>
        <v>60.42271500000001</v>
      </c>
      <c r="F39" s="625">
        <f>'Equipment and Investment'!$P$91</f>
        <v>60.42271500000001</v>
      </c>
      <c r="G39" s="625">
        <f>'Equipment and Investment'!$P$91</f>
        <v>60.42271500000001</v>
      </c>
      <c r="H39" s="625">
        <f>'Equipment and Investment'!$P$91</f>
        <v>60.42271500000001</v>
      </c>
      <c r="I39" s="625">
        <f>'Equipment and Investment'!$P$91</f>
        <v>60.42271500000001</v>
      </c>
      <c r="J39" s="625">
        <f>'Equipment and Investment'!$P$91</f>
        <v>60.42271500000001</v>
      </c>
      <c r="K39" s="625">
        <f>'Equipment and Investment'!$P$91</f>
        <v>60.42271500000001</v>
      </c>
      <c r="L39" s="625">
        <f>'Equipment and Investment'!$P$91</f>
        <v>60.42271500000001</v>
      </c>
    </row>
    <row r="40" spans="1:12" ht="12.75">
      <c r="A40" s="624" t="s">
        <v>32</v>
      </c>
      <c r="B40" s="625">
        <f>'Equipment and Investment'!$Q$91</f>
        <v>458.9749475025001</v>
      </c>
      <c r="C40" s="625">
        <f>'Equipment and Investment'!$Q$91</f>
        <v>458.9749475025001</v>
      </c>
      <c r="D40" s="625">
        <f>'Equipment and Investment'!$Q$91</f>
        <v>458.9749475025001</v>
      </c>
      <c r="E40" s="625">
        <f>'Equipment and Investment'!$Q$91</f>
        <v>458.9749475025001</v>
      </c>
      <c r="F40" s="625">
        <f>'Equipment and Investment'!$Q$91</f>
        <v>458.9749475025001</v>
      </c>
      <c r="G40" s="625">
        <f>'Equipment and Investment'!$Q$91</f>
        <v>458.9749475025001</v>
      </c>
      <c r="H40" s="625">
        <f>'Equipment and Investment'!$Q$91</f>
        <v>458.9749475025001</v>
      </c>
      <c r="I40" s="625">
        <f>'Equipment and Investment'!$Q$91</f>
        <v>458.9749475025001</v>
      </c>
      <c r="J40" s="625">
        <f>'Equipment and Investment'!$Q$91</f>
        <v>458.9749475025001</v>
      </c>
      <c r="K40" s="625">
        <f>'Equipment and Investment'!$Q$91</f>
        <v>458.9749475025001</v>
      </c>
      <c r="L40" s="625">
        <f>'Equipment and Investment'!$Q$91</f>
        <v>458.9749475025001</v>
      </c>
    </row>
    <row r="41" spans="1:12" ht="4.5" customHeight="1">
      <c r="A41" s="624"/>
      <c r="B41" s="626"/>
      <c r="C41" s="626"/>
      <c r="D41" s="626"/>
      <c r="E41" s="626"/>
      <c r="F41" s="626"/>
      <c r="G41" s="626"/>
      <c r="H41" s="626"/>
      <c r="I41" s="626"/>
      <c r="J41" s="626"/>
      <c r="K41" s="626"/>
      <c r="L41" s="626"/>
    </row>
    <row r="42" spans="1:12" ht="12.75">
      <c r="A42" s="624" t="s">
        <v>17</v>
      </c>
      <c r="B42" s="612">
        <f aca="true" t="shared" si="6" ref="B42:L42">SUM(B37:B41)</f>
        <v>7431.75414518321</v>
      </c>
      <c r="C42" s="612">
        <f t="shared" si="6"/>
        <v>7431.75414518321</v>
      </c>
      <c r="D42" s="612">
        <f t="shared" si="6"/>
        <v>7431.75414518321</v>
      </c>
      <c r="E42" s="612">
        <f t="shared" si="6"/>
        <v>7431.75414518321</v>
      </c>
      <c r="F42" s="612">
        <f t="shared" si="6"/>
        <v>7431.75414518321</v>
      </c>
      <c r="G42" s="612">
        <f t="shared" si="6"/>
        <v>7431.75414518321</v>
      </c>
      <c r="H42" s="612">
        <f t="shared" si="6"/>
        <v>7431.75414518321</v>
      </c>
      <c r="I42" s="612">
        <f t="shared" si="6"/>
        <v>7431.75414518321</v>
      </c>
      <c r="J42" s="612">
        <f t="shared" si="6"/>
        <v>7431.75414518321</v>
      </c>
      <c r="K42" s="612">
        <f t="shared" si="6"/>
        <v>7431.75414518321</v>
      </c>
      <c r="L42" s="612">
        <f t="shared" si="6"/>
        <v>7431.75414518321</v>
      </c>
    </row>
    <row r="43" spans="2:12" ht="12.75">
      <c r="B43" s="612"/>
      <c r="C43" s="612"/>
      <c r="D43" s="612"/>
      <c r="E43" s="612"/>
      <c r="F43" s="612"/>
      <c r="G43" s="612"/>
      <c r="H43" s="612"/>
      <c r="I43" s="612"/>
      <c r="J43" s="612"/>
      <c r="K43" s="612"/>
      <c r="L43" s="612"/>
    </row>
    <row r="44" spans="1:19" ht="21" customHeight="1">
      <c r="A44" s="871" t="s">
        <v>19</v>
      </c>
      <c r="B44" s="872">
        <f aca="true" t="shared" si="7" ref="B44:L44">B31+B34+B42</f>
        <v>44686.60555432922</v>
      </c>
      <c r="C44" s="872">
        <f t="shared" si="7"/>
        <v>44686.60555432922</v>
      </c>
      <c r="D44" s="872">
        <f t="shared" si="7"/>
        <v>44686.60555432922</v>
      </c>
      <c r="E44" s="872">
        <f t="shared" si="7"/>
        <v>44686.60555432922</v>
      </c>
      <c r="F44" s="872">
        <f t="shared" si="7"/>
        <v>44686.60555432922</v>
      </c>
      <c r="G44" s="872">
        <f t="shared" si="7"/>
        <v>44686.60555432922</v>
      </c>
      <c r="H44" s="872">
        <f t="shared" si="7"/>
        <v>44686.60555432922</v>
      </c>
      <c r="I44" s="872">
        <f t="shared" si="7"/>
        <v>44686.60555432922</v>
      </c>
      <c r="J44" s="872">
        <f t="shared" si="7"/>
        <v>44686.60555432922</v>
      </c>
      <c r="K44" s="872">
        <f t="shared" si="7"/>
        <v>44686.60555432922</v>
      </c>
      <c r="L44" s="872">
        <f t="shared" si="7"/>
        <v>44686.60555432922</v>
      </c>
      <c r="M44" s="119"/>
      <c r="N44" s="119"/>
      <c r="O44" s="119"/>
      <c r="P44" s="119"/>
      <c r="Q44" s="119"/>
      <c r="R44" s="119"/>
      <c r="S44" s="119"/>
    </row>
    <row r="45" spans="2:12" ht="12.75">
      <c r="B45" s="508"/>
      <c r="C45" s="508"/>
      <c r="D45" s="508"/>
      <c r="E45" s="508"/>
      <c r="F45" s="508"/>
      <c r="G45" s="508"/>
      <c r="H45" s="508"/>
      <c r="I45" s="508"/>
      <c r="J45" s="508"/>
      <c r="K45" s="508"/>
      <c r="L45" s="508"/>
    </row>
    <row r="46" ht="12.75">
      <c r="A46" s="238" t="s">
        <v>18</v>
      </c>
    </row>
    <row r="47" spans="1:12" ht="12.75">
      <c r="A47" s="624" t="s">
        <v>99</v>
      </c>
      <c r="B47" s="520">
        <f>B24*'Farm and Buffer Assumptions'!$D$4</f>
        <v>3947.6451790633614</v>
      </c>
      <c r="C47" s="520">
        <f>C24*'Farm and Buffer Assumptions'!$D$4</f>
        <v>3947.6451790633614</v>
      </c>
      <c r="D47" s="520">
        <f>D24*'Farm and Buffer Assumptions'!$D$4</f>
        <v>3947.6451790633614</v>
      </c>
      <c r="E47" s="520">
        <f>E24*'Farm and Buffer Assumptions'!$D$4</f>
        <v>3947.6451790633614</v>
      </c>
      <c r="F47" s="520">
        <f>F24*'Farm and Buffer Assumptions'!$D$4</f>
        <v>3947.6451790633614</v>
      </c>
      <c r="G47" s="520">
        <f>G24*'Farm and Buffer Assumptions'!$D$4</f>
        <v>3947.6451790633614</v>
      </c>
      <c r="H47" s="520">
        <f>H24*'Farm and Buffer Assumptions'!$D$4</f>
        <v>3947.6451790633614</v>
      </c>
      <c r="I47" s="520">
        <f>I24*'Farm and Buffer Assumptions'!$D$4</f>
        <v>3947.6451790633614</v>
      </c>
      <c r="J47" s="520">
        <f>J24*'Farm and Buffer Assumptions'!$D$4</f>
        <v>3947.6451790633614</v>
      </c>
      <c r="K47" s="520">
        <f>K24*'Farm and Buffer Assumptions'!$D$4</f>
        <v>3947.6451790633614</v>
      </c>
      <c r="L47" s="520">
        <f>L24*'Farm and Buffer Assumptions'!$D$4</f>
        <v>3947.6451790633614</v>
      </c>
    </row>
    <row r="48" spans="1:12" ht="12.75">
      <c r="A48" s="624" t="s">
        <v>284</v>
      </c>
      <c r="B48" s="612">
        <f>'Farm and Buffer Assumptions'!$D$12*'Input list &amp; prices'!$E$15</f>
        <v>1900</v>
      </c>
      <c r="C48" s="612">
        <f>'Farm and Buffer Assumptions'!$D$12*'Input list &amp; prices'!$E$15</f>
        <v>1900</v>
      </c>
      <c r="D48" s="612">
        <f>'Farm and Buffer Assumptions'!$D$12*'Input list &amp; prices'!$E$15</f>
        <v>1900</v>
      </c>
      <c r="E48" s="612">
        <f>'Farm and Buffer Assumptions'!$D$12*'Input list &amp; prices'!$E$15</f>
        <v>1900</v>
      </c>
      <c r="F48" s="612">
        <f>'Farm and Buffer Assumptions'!$D$12*'Input list &amp; prices'!$E$15</f>
        <v>1900</v>
      </c>
      <c r="G48" s="612">
        <f>'Farm and Buffer Assumptions'!$D$12*'Input list &amp; prices'!$E$15</f>
        <v>1900</v>
      </c>
      <c r="H48" s="612">
        <f>'Farm and Buffer Assumptions'!$D$12*'Input list &amp; prices'!$E$15</f>
        <v>1900</v>
      </c>
      <c r="I48" s="612">
        <f>'Farm and Buffer Assumptions'!$D$12*'Input list &amp; prices'!$E$15</f>
        <v>1900</v>
      </c>
      <c r="J48" s="612">
        <f>'Farm and Buffer Assumptions'!$D$12*'Input list &amp; prices'!$E$15</f>
        <v>1900</v>
      </c>
      <c r="K48" s="612">
        <f>'Farm and Buffer Assumptions'!$D$12*'Input list &amp; prices'!$E$15</f>
        <v>1900</v>
      </c>
      <c r="L48" s="612">
        <f>'Farm and Buffer Assumptions'!$D$12*'Input list &amp; prices'!$E$15</f>
        <v>1900</v>
      </c>
    </row>
    <row r="49" spans="1:12" ht="12.75">
      <c r="A49" s="134" t="s">
        <v>100</v>
      </c>
      <c r="B49" s="520">
        <f aca="true" t="shared" si="8" ref="B49:L49">B44+B47+B48</f>
        <v>50534.250733392575</v>
      </c>
      <c r="C49" s="520">
        <f t="shared" si="8"/>
        <v>50534.250733392575</v>
      </c>
      <c r="D49" s="520">
        <f t="shared" si="8"/>
        <v>50534.250733392575</v>
      </c>
      <c r="E49" s="520">
        <f t="shared" si="8"/>
        <v>50534.250733392575</v>
      </c>
      <c r="F49" s="520">
        <f t="shared" si="8"/>
        <v>50534.250733392575</v>
      </c>
      <c r="G49" s="520">
        <f t="shared" si="8"/>
        <v>50534.250733392575</v>
      </c>
      <c r="H49" s="520">
        <f t="shared" si="8"/>
        <v>50534.250733392575</v>
      </c>
      <c r="I49" s="520">
        <f t="shared" si="8"/>
        <v>50534.250733392575</v>
      </c>
      <c r="J49" s="520">
        <f t="shared" si="8"/>
        <v>50534.250733392575</v>
      </c>
      <c r="K49" s="520">
        <f t="shared" si="8"/>
        <v>50534.250733392575</v>
      </c>
      <c r="L49" s="520">
        <f t="shared" si="8"/>
        <v>50534.250733392575</v>
      </c>
    </row>
    <row r="50" spans="1:13" ht="22.5" customHeight="1">
      <c r="A50" s="873" t="s">
        <v>101</v>
      </c>
      <c r="B50" s="874">
        <f aca="true" t="shared" si="9" ref="B50:L50">B24-B49</f>
        <v>5860.680396084012</v>
      </c>
      <c r="C50" s="874">
        <f t="shared" si="9"/>
        <v>5860.680396084012</v>
      </c>
      <c r="D50" s="874">
        <f t="shared" si="9"/>
        <v>5860.680396084012</v>
      </c>
      <c r="E50" s="874">
        <f t="shared" si="9"/>
        <v>5860.680396084012</v>
      </c>
      <c r="F50" s="874">
        <f t="shared" si="9"/>
        <v>5860.680396084012</v>
      </c>
      <c r="G50" s="874">
        <f t="shared" si="9"/>
        <v>5860.680396084012</v>
      </c>
      <c r="H50" s="874">
        <f t="shared" si="9"/>
        <v>5860.680396084012</v>
      </c>
      <c r="I50" s="874">
        <f t="shared" si="9"/>
        <v>5860.680396084012</v>
      </c>
      <c r="J50" s="874">
        <f t="shared" si="9"/>
        <v>5860.680396084012</v>
      </c>
      <c r="K50" s="874">
        <f t="shared" si="9"/>
        <v>5860.680396084012</v>
      </c>
      <c r="L50" s="874">
        <f t="shared" si="9"/>
        <v>5860.680396084012</v>
      </c>
      <c r="M50" s="875">
        <f>L50/'Farm and Buffer Assumptions'!D20</f>
        <v>146517.00990210028</v>
      </c>
    </row>
    <row r="51" spans="1:12" ht="12.75">
      <c r="A51" t="s">
        <v>867</v>
      </c>
      <c r="B51" s="9">
        <f>B50/B8</f>
        <v>432.31598938803006</v>
      </c>
      <c r="C51" s="9">
        <f aca="true" t="shared" si="10" ref="C51:L51">C50/C8</f>
        <v>432.31598938803006</v>
      </c>
      <c r="D51" s="9">
        <f t="shared" si="10"/>
        <v>432.31598938803006</v>
      </c>
      <c r="E51" s="9">
        <f t="shared" si="10"/>
        <v>432.31598938803006</v>
      </c>
      <c r="F51" s="9">
        <f t="shared" si="10"/>
        <v>432.31598938803006</v>
      </c>
      <c r="G51" s="9">
        <f t="shared" si="10"/>
        <v>432.31598938803006</v>
      </c>
      <c r="H51" s="9">
        <f t="shared" si="10"/>
        <v>432.31598938803006</v>
      </c>
      <c r="I51" s="9">
        <f t="shared" si="10"/>
        <v>432.31598938803006</v>
      </c>
      <c r="J51" s="9">
        <f t="shared" si="10"/>
        <v>432.31598938803006</v>
      </c>
      <c r="K51" s="9">
        <f t="shared" si="10"/>
        <v>432.31598938803006</v>
      </c>
      <c r="L51" s="9">
        <f t="shared" si="10"/>
        <v>432.31598938803006</v>
      </c>
    </row>
    <row r="53" spans="1:13" ht="12.75">
      <c r="A53" t="s">
        <v>20</v>
      </c>
      <c r="B53" s="520">
        <f>B50</f>
        <v>5860.680396084012</v>
      </c>
      <c r="C53" s="612">
        <f>C50/(1+'Farm and Buffer Assumptions'!$D$20)^(C2-$B$2)</f>
        <v>5635.269611619242</v>
      </c>
      <c r="D53" s="612">
        <f>D50/(1+'Farm and Buffer Assumptions'!$D$20)^(D2-$B$2)</f>
        <v>5418.528472710809</v>
      </c>
      <c r="E53" s="612">
        <f>E50/(1+'Farm and Buffer Assumptions'!$D$20)^(E2-$B$2)</f>
        <v>5210.123531452701</v>
      </c>
      <c r="F53" s="612">
        <f>F50/(1+'Farm and Buffer Assumptions'!$D$20)^(F2-$B$2)</f>
        <v>5009.734164858366</v>
      </c>
      <c r="G53" s="612">
        <f>G50/(1+'Farm and Buffer Assumptions'!$D$20)^(G2-$B$2)</f>
        <v>4817.052081594582</v>
      </c>
      <c r="H53" s="612">
        <f>H50/(1+'Farm and Buffer Assumptions'!$D$20)^(H2-$B$2)</f>
        <v>4631.780847687098</v>
      </c>
      <c r="I53" s="612">
        <f>I50/(1+'Farm and Buffer Assumptions'!$D$20)^(I2-$B$2)</f>
        <v>4453.635430468364</v>
      </c>
      <c r="J53" s="612">
        <f>J50/(1+'Farm and Buffer Assumptions'!$D$20)^(J2-$B$2)</f>
        <v>4282.341760065734</v>
      </c>
      <c r="K53" s="612">
        <f>K50/(1+'Farm and Buffer Assumptions'!$D$20)^(K2-$B$2)</f>
        <v>4117.636307755513</v>
      </c>
      <c r="L53" s="612">
        <f>L50/(1+'Farm and Buffer Assumptions'!$D$20)^(L2-$B$2)</f>
        <v>3959.265680534147</v>
      </c>
      <c r="M53" s="612">
        <f>M50/(1+'Farm and Buffer Assumptions'!$D$20)^(M2-$B$2)</f>
        <v>95174.65578207084</v>
      </c>
    </row>
    <row r="55" spans="1:2" ht="12.75">
      <c r="A55" t="s">
        <v>21</v>
      </c>
      <c r="B55" s="520">
        <f>SUM(B53:M53)</f>
        <v>148570.7040669014</v>
      </c>
    </row>
    <row r="57" spans="1:2" ht="12.75">
      <c r="A57" t="s">
        <v>868</v>
      </c>
      <c r="B57" s="519">
        <f>B55*'Farm and Buffer Assumptions'!$D$20/(B7)/(1+'Farm and Buffer Assumptions'!$D$20)</f>
        <v>421.5150577297079</v>
      </c>
    </row>
    <row r="58" spans="1:2" ht="12.75">
      <c r="A58" t="s">
        <v>869</v>
      </c>
      <c r="B58" s="519"/>
    </row>
    <row r="59" ht="12.75">
      <c r="B59" s="519"/>
    </row>
    <row r="60" spans="1:2" ht="12.75">
      <c r="A60" s="857" t="s">
        <v>600</v>
      </c>
      <c r="B60" s="519">
        <f>'Buffer Builder'!C144</f>
        <v>-41834.79260231517</v>
      </c>
    </row>
  </sheetData>
  <sheetProtection/>
  <mergeCells count="1">
    <mergeCell ref="A1:B1"/>
  </mergeCells>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codeName="Sheet8"/>
  <dimension ref="A1:G152"/>
  <sheetViews>
    <sheetView zoomScalePageLayoutView="0" workbookViewId="0" topLeftCell="A1">
      <selection activeCell="A1" sqref="A1"/>
    </sheetView>
  </sheetViews>
  <sheetFormatPr defaultColWidth="9.140625" defaultRowHeight="12.75"/>
  <cols>
    <col min="1" max="1" width="58.421875" style="0" customWidth="1"/>
    <col min="2" max="2" width="14.00390625" style="0" customWidth="1"/>
    <col min="3" max="3" width="14.140625" style="0" customWidth="1"/>
    <col min="4" max="4" width="15.8515625" style="0" customWidth="1"/>
  </cols>
  <sheetData>
    <row r="1" spans="1:3" ht="42" customHeight="1" thickBot="1">
      <c r="A1" s="344" t="s">
        <v>287</v>
      </c>
      <c r="B1" s="345"/>
      <c r="C1" s="346"/>
    </row>
    <row r="2" spans="1:3" ht="43.5" customHeight="1">
      <c r="A2" s="930" t="s">
        <v>862</v>
      </c>
      <c r="B2" s="930"/>
      <c r="C2" s="930"/>
    </row>
    <row r="3" spans="1:3" ht="15" customHeight="1">
      <c r="A3" s="926" t="s">
        <v>575</v>
      </c>
      <c r="B3" s="927"/>
      <c r="C3" s="927"/>
    </row>
    <row r="4" spans="1:3" ht="46.5" customHeight="1">
      <c r="A4" s="927"/>
      <c r="B4" s="927"/>
      <c r="C4" s="927"/>
    </row>
    <row r="5" spans="1:3" ht="15" customHeight="1">
      <c r="A5" s="1"/>
      <c r="B5" s="133" t="s">
        <v>83</v>
      </c>
      <c r="C5" s="133" t="s">
        <v>288</v>
      </c>
    </row>
    <row r="6" spans="1:3" ht="15" customHeight="1">
      <c r="A6" s="96" t="s">
        <v>289</v>
      </c>
      <c r="B6" s="97" t="s">
        <v>290</v>
      </c>
      <c r="C6" s="341">
        <v>1000</v>
      </c>
    </row>
    <row r="7" spans="1:3" ht="15" customHeight="1">
      <c r="A7" s="96" t="s">
        <v>291</v>
      </c>
      <c r="B7" s="97" t="s">
        <v>290</v>
      </c>
      <c r="C7" s="341">
        <v>0</v>
      </c>
    </row>
    <row r="8" spans="1:3" ht="15" customHeight="1">
      <c r="A8" s="96" t="s">
        <v>292</v>
      </c>
      <c r="B8" s="97" t="s">
        <v>290</v>
      </c>
      <c r="C8" s="341">
        <v>1000</v>
      </c>
    </row>
    <row r="9" spans="1:3" ht="15" customHeight="1">
      <c r="A9" s="96" t="s">
        <v>293</v>
      </c>
      <c r="B9" s="97" t="s">
        <v>290</v>
      </c>
      <c r="C9" s="341">
        <v>0</v>
      </c>
    </row>
    <row r="10" spans="1:5" ht="15" customHeight="1">
      <c r="A10" s="96" t="s">
        <v>294</v>
      </c>
      <c r="B10" s="97" t="s">
        <v>290</v>
      </c>
      <c r="C10" s="341">
        <v>0</v>
      </c>
      <c r="E10" s="134"/>
    </row>
    <row r="11" spans="1:5" ht="15" customHeight="1">
      <c r="A11" s="96" t="s">
        <v>295</v>
      </c>
      <c r="B11" s="97" t="s">
        <v>290</v>
      </c>
      <c r="C11" s="341">
        <v>0</v>
      </c>
      <c r="E11" s="134"/>
    </row>
    <row r="12" spans="1:5" ht="15" customHeight="1">
      <c r="A12" s="6" t="s">
        <v>86</v>
      </c>
      <c r="B12" s="134"/>
      <c r="C12" s="135">
        <f>SUM(C6:C11)</f>
        <v>2000</v>
      </c>
      <c r="E12" s="134"/>
    </row>
    <row r="13" spans="1:5" ht="15" customHeight="1">
      <c r="A13" s="6"/>
      <c r="B13" s="134"/>
      <c r="C13" s="135"/>
      <c r="E13" s="134"/>
    </row>
    <row r="14" spans="1:5" ht="15" customHeight="1">
      <c r="A14" s="136" t="s">
        <v>323</v>
      </c>
      <c r="B14" s="134"/>
      <c r="C14" s="135"/>
      <c r="E14" s="134"/>
    </row>
    <row r="15" spans="1:5" ht="15" customHeight="1">
      <c r="A15" s="6"/>
      <c r="B15" s="133" t="s">
        <v>83</v>
      </c>
      <c r="C15" s="133" t="s">
        <v>288</v>
      </c>
      <c r="E15" s="134"/>
    </row>
    <row r="16" spans="1:5" ht="15" customHeight="1">
      <c r="A16" s="6"/>
      <c r="B16" s="102" t="s">
        <v>290</v>
      </c>
      <c r="C16" s="341">
        <v>0</v>
      </c>
      <c r="E16" s="134"/>
    </row>
    <row r="17" spans="1:3" ht="15" customHeight="1">
      <c r="A17" s="15" t="s">
        <v>296</v>
      </c>
      <c r="B17" s="102" t="s">
        <v>290</v>
      </c>
      <c r="C17" s="137">
        <f>'Buffer input prices'!D34</f>
        <v>2</v>
      </c>
    </row>
    <row r="18" spans="1:3" ht="15" customHeight="1">
      <c r="A18" s="6"/>
      <c r="B18" s="21"/>
      <c r="C18" s="138"/>
    </row>
    <row r="19" ht="15" customHeight="1">
      <c r="A19" s="136" t="s">
        <v>297</v>
      </c>
    </row>
    <row r="20" spans="1:3" ht="15" customHeight="1">
      <c r="A20" s="100" t="s">
        <v>298</v>
      </c>
      <c r="B20" s="133" t="s">
        <v>299</v>
      </c>
      <c r="C20" s="133" t="s">
        <v>245</v>
      </c>
    </row>
    <row r="21" spans="1:3" ht="15" customHeight="1">
      <c r="A21" s="102" t="s">
        <v>300</v>
      </c>
      <c r="B21" s="342">
        <v>0</v>
      </c>
      <c r="C21" s="139">
        <f>(C6*B21)/43560</f>
        <v>0</v>
      </c>
    </row>
    <row r="22" spans="1:3" ht="15" customHeight="1">
      <c r="A22" s="97" t="s">
        <v>301</v>
      </c>
      <c r="B22" s="342">
        <v>0</v>
      </c>
      <c r="C22" s="139">
        <f>(C6*B22)/43560</f>
        <v>0</v>
      </c>
    </row>
    <row r="23" spans="1:3" ht="15" customHeight="1">
      <c r="A23" s="97" t="s">
        <v>302</v>
      </c>
      <c r="B23" s="342">
        <v>0</v>
      </c>
      <c r="C23" s="139">
        <f>(C6*B23)/43560</f>
        <v>0</v>
      </c>
    </row>
    <row r="24" spans="1:3" ht="15" customHeight="1">
      <c r="A24" s="97" t="s">
        <v>303</v>
      </c>
      <c r="B24" s="342">
        <v>0</v>
      </c>
      <c r="C24" s="139">
        <f>(C6*B24)/43560</f>
        <v>0</v>
      </c>
    </row>
    <row r="25" spans="1:3" ht="15" customHeight="1">
      <c r="A25" s="97" t="s">
        <v>304</v>
      </c>
      <c r="B25" s="342">
        <v>0</v>
      </c>
      <c r="C25" s="139">
        <f>(C6*B25)/43560</f>
        <v>0</v>
      </c>
    </row>
    <row r="26" spans="1:3" ht="18.75" customHeight="1">
      <c r="A26" s="97" t="s">
        <v>305</v>
      </c>
      <c r="B26" s="342">
        <v>100</v>
      </c>
      <c r="C26" s="139">
        <f>(C6*B26)/43560</f>
        <v>2.295684113865932</v>
      </c>
    </row>
    <row r="27" spans="1:3" ht="15" customHeight="1">
      <c r="A27" s="97" t="s">
        <v>306</v>
      </c>
      <c r="B27" s="342">
        <v>0</v>
      </c>
      <c r="C27" s="139">
        <f>(C6*B27)/43560</f>
        <v>0</v>
      </c>
    </row>
    <row r="28" spans="1:3" ht="15" customHeight="1">
      <c r="A28" s="311" t="s">
        <v>307</v>
      </c>
      <c r="B28" s="311">
        <f>SUM(B21:B27)</f>
        <v>100</v>
      </c>
      <c r="C28" s="312">
        <f>SUM(C21:C27)</f>
        <v>2.295684113865932</v>
      </c>
    </row>
    <row r="29" ht="15" customHeight="1"/>
    <row r="30" ht="15" customHeight="1">
      <c r="A30" s="136" t="s">
        <v>308</v>
      </c>
    </row>
    <row r="31" spans="1:3" ht="15" customHeight="1">
      <c r="A31" s="100" t="s">
        <v>298</v>
      </c>
      <c r="B31" s="133" t="s">
        <v>299</v>
      </c>
      <c r="C31" s="133" t="s">
        <v>245</v>
      </c>
    </row>
    <row r="32" spans="1:3" ht="15" customHeight="1">
      <c r="A32" s="102" t="s">
        <v>300</v>
      </c>
      <c r="B32" s="342">
        <v>0</v>
      </c>
      <c r="C32" s="139">
        <f>(C7*B32)/43560</f>
        <v>0</v>
      </c>
    </row>
    <row r="33" spans="1:3" ht="15" customHeight="1">
      <c r="A33" s="97" t="s">
        <v>301</v>
      </c>
      <c r="B33" s="342">
        <v>0</v>
      </c>
      <c r="C33" s="139">
        <f>(C7*B33)/43560</f>
        <v>0</v>
      </c>
    </row>
    <row r="34" spans="1:3" ht="15" customHeight="1">
      <c r="A34" s="97" t="s">
        <v>302</v>
      </c>
      <c r="B34" s="342">
        <v>0</v>
      </c>
      <c r="C34" s="139">
        <f>(C7*B34)/43560</f>
        <v>0</v>
      </c>
    </row>
    <row r="35" spans="1:3" ht="15" customHeight="1">
      <c r="A35" s="97" t="s">
        <v>303</v>
      </c>
      <c r="B35" s="342">
        <v>0</v>
      </c>
      <c r="C35" s="139">
        <f>(C7*B35)/43560</f>
        <v>0</v>
      </c>
    </row>
    <row r="36" spans="1:3" ht="15" customHeight="1">
      <c r="A36" s="97" t="s">
        <v>304</v>
      </c>
      <c r="B36" s="342">
        <v>0</v>
      </c>
      <c r="C36" s="139">
        <f>(C7*B36)/43560</f>
        <v>0</v>
      </c>
    </row>
    <row r="37" spans="1:3" ht="18.75" customHeight="1">
      <c r="A37" s="97" t="s">
        <v>305</v>
      </c>
      <c r="B37" s="342">
        <v>0</v>
      </c>
      <c r="C37" s="139">
        <f>(C7*B37)/43560</f>
        <v>0</v>
      </c>
    </row>
    <row r="38" spans="1:3" ht="15" customHeight="1">
      <c r="A38" s="97" t="s">
        <v>306</v>
      </c>
      <c r="B38" s="342">
        <v>0</v>
      </c>
      <c r="C38" s="139">
        <f>(C7*B38)/43560</f>
        <v>0</v>
      </c>
    </row>
    <row r="39" spans="1:3" ht="15" customHeight="1">
      <c r="A39" s="311" t="s">
        <v>309</v>
      </c>
      <c r="B39" s="311">
        <f>SUM(B32:B38)</f>
        <v>0</v>
      </c>
      <c r="C39" s="312">
        <f>SUM(C32:C38)</f>
        <v>0</v>
      </c>
    </row>
    <row r="40" ht="15" customHeight="1"/>
    <row r="41" ht="15" customHeight="1">
      <c r="A41" s="136" t="s">
        <v>310</v>
      </c>
    </row>
    <row r="42" spans="1:3" ht="15" customHeight="1">
      <c r="A42" s="100" t="s">
        <v>298</v>
      </c>
      <c r="B42" s="133" t="s">
        <v>299</v>
      </c>
      <c r="C42" s="133" t="s">
        <v>245</v>
      </c>
    </row>
    <row r="43" spans="1:3" ht="15" customHeight="1">
      <c r="A43" s="102" t="s">
        <v>300</v>
      </c>
      <c r="B43" s="342">
        <v>0</v>
      </c>
      <c r="C43" s="139">
        <f>(C8*B43)/43560</f>
        <v>0</v>
      </c>
    </row>
    <row r="44" spans="1:3" ht="15" customHeight="1">
      <c r="A44" s="97" t="s">
        <v>301</v>
      </c>
      <c r="B44" s="342">
        <v>0</v>
      </c>
      <c r="C44" s="139">
        <f>(C8*B44)/43560</f>
        <v>0</v>
      </c>
    </row>
    <row r="45" spans="1:3" ht="15" customHeight="1">
      <c r="A45" s="97" t="s">
        <v>302</v>
      </c>
      <c r="B45" s="342">
        <v>0</v>
      </c>
      <c r="C45" s="139">
        <f>(C8*B45)/43560</f>
        <v>0</v>
      </c>
    </row>
    <row r="46" spans="1:3" ht="15" customHeight="1">
      <c r="A46" s="97" t="s">
        <v>303</v>
      </c>
      <c r="B46" s="342">
        <v>0</v>
      </c>
      <c r="C46" s="139">
        <f>(C8*B46)/43560</f>
        <v>0</v>
      </c>
    </row>
    <row r="47" spans="1:3" ht="15" customHeight="1">
      <c r="A47" s="97" t="s">
        <v>304</v>
      </c>
      <c r="B47" s="342">
        <v>0</v>
      </c>
      <c r="C47" s="139">
        <f>(C8*B47)/43560</f>
        <v>0</v>
      </c>
    </row>
    <row r="48" spans="1:3" ht="18" customHeight="1">
      <c r="A48" s="97" t="s">
        <v>305</v>
      </c>
      <c r="B48" s="342">
        <v>50</v>
      </c>
      <c r="C48" s="139">
        <f>(C8*B48)/43560</f>
        <v>1.147842056932966</v>
      </c>
    </row>
    <row r="49" spans="1:3" ht="15" customHeight="1">
      <c r="A49" s="97" t="s">
        <v>306</v>
      </c>
      <c r="B49" s="342">
        <v>0</v>
      </c>
      <c r="C49" s="139">
        <f>(C8*B49)/43560</f>
        <v>0</v>
      </c>
    </row>
    <row r="50" spans="1:3" ht="15" customHeight="1">
      <c r="A50" s="311" t="s">
        <v>311</v>
      </c>
      <c r="B50" s="311">
        <f>SUM(B43:B49)</f>
        <v>50</v>
      </c>
      <c r="C50" s="312">
        <f>SUM(C43:C49)</f>
        <v>1.147842056932966</v>
      </c>
    </row>
    <row r="51" ht="15" customHeight="1"/>
    <row r="52" ht="15" customHeight="1">
      <c r="A52" s="136" t="s">
        <v>312</v>
      </c>
    </row>
    <row r="53" spans="1:3" ht="15" customHeight="1">
      <c r="A53" s="100" t="s">
        <v>298</v>
      </c>
      <c r="B53" s="133" t="s">
        <v>299</v>
      </c>
      <c r="C53" s="133" t="s">
        <v>245</v>
      </c>
    </row>
    <row r="54" spans="1:3" ht="15" customHeight="1">
      <c r="A54" s="102" t="s">
        <v>300</v>
      </c>
      <c r="B54" s="342">
        <v>0</v>
      </c>
      <c r="C54" s="139">
        <f>(C9*B54)/43560</f>
        <v>0</v>
      </c>
    </row>
    <row r="55" spans="1:3" ht="15" customHeight="1">
      <c r="A55" s="97" t="s">
        <v>301</v>
      </c>
      <c r="B55" s="342">
        <v>0</v>
      </c>
      <c r="C55" s="139">
        <f>(C9*B55)/43560</f>
        <v>0</v>
      </c>
    </row>
    <row r="56" spans="1:3" ht="15" customHeight="1">
      <c r="A56" s="97" t="s">
        <v>302</v>
      </c>
      <c r="B56" s="342">
        <v>0</v>
      </c>
      <c r="C56" s="139">
        <f>(C9*B56)/43560</f>
        <v>0</v>
      </c>
    </row>
    <row r="57" spans="1:3" ht="15" customHeight="1">
      <c r="A57" s="97" t="s">
        <v>303</v>
      </c>
      <c r="B57" s="342">
        <v>0</v>
      </c>
      <c r="C57" s="139">
        <f>(C9*B57)/43560</f>
        <v>0</v>
      </c>
    </row>
    <row r="58" spans="1:3" ht="15" customHeight="1">
      <c r="A58" s="97" t="s">
        <v>304</v>
      </c>
      <c r="B58" s="342">
        <v>0</v>
      </c>
      <c r="C58" s="139">
        <f>(C9*B58)/43560</f>
        <v>0</v>
      </c>
    </row>
    <row r="59" spans="1:3" ht="18" customHeight="1">
      <c r="A59" s="97" t="s">
        <v>305</v>
      </c>
      <c r="B59" s="342">
        <v>0</v>
      </c>
      <c r="C59" s="139">
        <f>(C9*B59)/43560</f>
        <v>0</v>
      </c>
    </row>
    <row r="60" spans="1:3" ht="15" customHeight="1">
      <c r="A60" s="97" t="s">
        <v>306</v>
      </c>
      <c r="B60" s="342">
        <v>0</v>
      </c>
      <c r="C60" s="139">
        <f>(C9*B60)/43560</f>
        <v>0</v>
      </c>
    </row>
    <row r="61" spans="1:3" ht="15" customHeight="1">
      <c r="A61" s="311" t="s">
        <v>313</v>
      </c>
      <c r="B61" s="311">
        <f>SUM(B54:B60)</f>
        <v>0</v>
      </c>
      <c r="C61" s="312">
        <f>SUM(C54:C60)</f>
        <v>0</v>
      </c>
    </row>
    <row r="62" ht="15" customHeight="1"/>
    <row r="63" ht="15" customHeight="1">
      <c r="A63" s="136" t="s">
        <v>314</v>
      </c>
    </row>
    <row r="64" spans="1:3" ht="15" customHeight="1">
      <c r="A64" s="100" t="s">
        <v>298</v>
      </c>
      <c r="B64" s="133" t="s">
        <v>299</v>
      </c>
      <c r="C64" s="133" t="s">
        <v>245</v>
      </c>
    </row>
    <row r="65" spans="1:3" ht="15" customHeight="1">
      <c r="A65" s="102" t="s">
        <v>300</v>
      </c>
      <c r="B65" s="342">
        <v>0</v>
      </c>
      <c r="C65" s="139">
        <f>(C10*B65)/43560</f>
        <v>0</v>
      </c>
    </row>
    <row r="66" spans="1:3" ht="15" customHeight="1">
      <c r="A66" s="97" t="s">
        <v>301</v>
      </c>
      <c r="B66" s="342">
        <v>0</v>
      </c>
      <c r="C66" s="139">
        <f>(C10*B66)/43560</f>
        <v>0</v>
      </c>
    </row>
    <row r="67" spans="1:3" ht="15" customHeight="1">
      <c r="A67" s="97" t="s">
        <v>302</v>
      </c>
      <c r="B67" s="342">
        <v>0</v>
      </c>
      <c r="C67" s="139">
        <f>(C10*B67)/43560</f>
        <v>0</v>
      </c>
    </row>
    <row r="68" spans="1:3" ht="15" customHeight="1">
      <c r="A68" s="97" t="s">
        <v>303</v>
      </c>
      <c r="B68" s="342">
        <v>0</v>
      </c>
      <c r="C68" s="139">
        <f>(C10*B68)/43560</f>
        <v>0</v>
      </c>
    </row>
    <row r="69" spans="1:3" ht="15" customHeight="1">
      <c r="A69" s="97" t="s">
        <v>304</v>
      </c>
      <c r="B69" s="342">
        <v>0</v>
      </c>
      <c r="C69" s="139">
        <f>(C10*B69)/43560</f>
        <v>0</v>
      </c>
    </row>
    <row r="70" spans="1:3" ht="18" customHeight="1">
      <c r="A70" s="97" t="s">
        <v>305</v>
      </c>
      <c r="B70" s="342">
        <v>0</v>
      </c>
      <c r="C70" s="139">
        <f>(C10*B70)/43560</f>
        <v>0</v>
      </c>
    </row>
    <row r="71" spans="1:3" ht="15" customHeight="1">
      <c r="A71" s="97" t="s">
        <v>306</v>
      </c>
      <c r="B71" s="342">
        <v>0</v>
      </c>
      <c r="C71" s="139">
        <f>(C10*B71)/43560</f>
        <v>0</v>
      </c>
    </row>
    <row r="72" spans="1:3" ht="15" customHeight="1">
      <c r="A72" s="311" t="s">
        <v>315</v>
      </c>
      <c r="B72" s="311">
        <f>SUM(B65:B71)</f>
        <v>0</v>
      </c>
      <c r="C72" s="313">
        <f>SUM(C65:C71)</f>
        <v>0</v>
      </c>
    </row>
    <row r="73" spans="2:3" ht="15" customHeight="1">
      <c r="B73" s="134"/>
      <c r="C73" s="140"/>
    </row>
    <row r="74" ht="15" customHeight="1">
      <c r="A74" s="132" t="s">
        <v>316</v>
      </c>
    </row>
    <row r="75" spans="1:3" ht="15" customHeight="1">
      <c r="A75" s="100" t="s">
        <v>298</v>
      </c>
      <c r="B75" s="133" t="s">
        <v>299</v>
      </c>
      <c r="C75" s="133" t="s">
        <v>245</v>
      </c>
    </row>
    <row r="76" spans="1:3" ht="15" customHeight="1">
      <c r="A76" s="102" t="s">
        <v>300</v>
      </c>
      <c r="B76" s="342">
        <v>0</v>
      </c>
      <c r="C76" s="139">
        <f>(C11*B76)/43560</f>
        <v>0</v>
      </c>
    </row>
    <row r="77" spans="1:3" ht="15" customHeight="1">
      <c r="A77" s="97" t="s">
        <v>301</v>
      </c>
      <c r="B77" s="342">
        <v>0</v>
      </c>
      <c r="C77" s="139">
        <f>(C11*B77)/43560</f>
        <v>0</v>
      </c>
    </row>
    <row r="78" spans="1:3" ht="15" customHeight="1">
      <c r="A78" s="97" t="s">
        <v>302</v>
      </c>
      <c r="B78" s="342">
        <v>0</v>
      </c>
      <c r="C78" s="139">
        <f>(C11*B78)/43560</f>
        <v>0</v>
      </c>
    </row>
    <row r="79" spans="1:3" ht="15" customHeight="1">
      <c r="A79" s="97" t="s">
        <v>303</v>
      </c>
      <c r="B79" s="342">
        <v>0</v>
      </c>
      <c r="C79" s="139">
        <f>(C11*B79)/43560</f>
        <v>0</v>
      </c>
    </row>
    <row r="80" spans="1:3" ht="15" customHeight="1">
      <c r="A80" s="97" t="s">
        <v>304</v>
      </c>
      <c r="B80" s="342">
        <v>0</v>
      </c>
      <c r="C80" s="139">
        <f>(C11*B80)/43560</f>
        <v>0</v>
      </c>
    </row>
    <row r="81" spans="1:3" ht="18" customHeight="1">
      <c r="A81" s="97" t="s">
        <v>305</v>
      </c>
      <c r="B81" s="342">
        <v>0</v>
      </c>
      <c r="C81" s="139">
        <f>(C11*B81)/43560</f>
        <v>0</v>
      </c>
    </row>
    <row r="82" spans="1:3" ht="12.75">
      <c r="A82" s="97" t="s">
        <v>306</v>
      </c>
      <c r="B82" s="342">
        <v>0</v>
      </c>
      <c r="C82" s="139">
        <f>(C11*B82)/43560</f>
        <v>0</v>
      </c>
    </row>
    <row r="83" spans="1:3" ht="12.75">
      <c r="A83" s="311" t="s">
        <v>317</v>
      </c>
      <c r="B83" s="311">
        <f>SUM(B76:B82)</f>
        <v>0</v>
      </c>
      <c r="C83" s="312">
        <f>SUM(C76:C82)</f>
        <v>0</v>
      </c>
    </row>
    <row r="84" spans="2:3" ht="24" customHeight="1">
      <c r="B84" s="134"/>
      <c r="C84" s="140"/>
    </row>
    <row r="85" ht="18" customHeight="1"/>
    <row r="86" spans="1:2" ht="18" customHeight="1">
      <c r="A86" s="376" t="s">
        <v>318</v>
      </c>
      <c r="B86" s="377" t="s">
        <v>245</v>
      </c>
    </row>
    <row r="87" spans="1:2" ht="18" customHeight="1">
      <c r="A87" s="141" t="s">
        <v>300</v>
      </c>
      <c r="B87" s="142">
        <f>C76+C65+C54+C43+C32+C21</f>
        <v>0</v>
      </c>
    </row>
    <row r="88" spans="1:2" ht="18" customHeight="1">
      <c r="A88" s="141" t="s">
        <v>301</v>
      </c>
      <c r="B88" s="142">
        <f aca="true" t="shared" si="0" ref="B88:B93">C77+C66+C55+C44+C33+C22</f>
        <v>0</v>
      </c>
    </row>
    <row r="89" spans="1:2" ht="18" customHeight="1">
      <c r="A89" s="141" t="s">
        <v>302</v>
      </c>
      <c r="B89" s="142">
        <f t="shared" si="0"/>
        <v>0</v>
      </c>
    </row>
    <row r="90" spans="1:2" ht="18" customHeight="1">
      <c r="A90" s="141" t="s">
        <v>303</v>
      </c>
      <c r="B90" s="142">
        <f t="shared" si="0"/>
        <v>0</v>
      </c>
    </row>
    <row r="91" spans="1:2" ht="18" customHeight="1">
      <c r="A91" s="141" t="s">
        <v>304</v>
      </c>
      <c r="B91" s="142">
        <f t="shared" si="0"/>
        <v>0</v>
      </c>
    </row>
    <row r="92" spans="1:6" ht="18" customHeight="1">
      <c r="A92" s="141" t="s">
        <v>305</v>
      </c>
      <c r="B92" s="142">
        <f t="shared" si="0"/>
        <v>3.443526170798898</v>
      </c>
      <c r="E92" s="144" t="s">
        <v>320</v>
      </c>
      <c r="F92" s="130">
        <f>C28+C39+C50+C61+C72+C83</f>
        <v>3.443526170798898</v>
      </c>
    </row>
    <row r="93" spans="1:2" ht="18" customHeight="1" thickBot="1">
      <c r="A93" s="143" t="s">
        <v>306</v>
      </c>
      <c r="B93" s="142">
        <f t="shared" si="0"/>
        <v>0</v>
      </c>
    </row>
    <row r="94" spans="1:3" ht="18" customHeight="1" thickBot="1">
      <c r="A94" s="314" t="s">
        <v>319</v>
      </c>
      <c r="B94" s="315">
        <f>SUM(B87:B93)</f>
        <v>3.443526170798898</v>
      </c>
      <c r="C94" s="130"/>
    </row>
    <row r="95" spans="1:3" ht="29.25" customHeight="1">
      <c r="A95" s="145" t="s">
        <v>321</v>
      </c>
      <c r="B95" s="146">
        <f>B87+B88+B91+B92</f>
        <v>3.443526170798898</v>
      </c>
      <c r="C95" s="130"/>
    </row>
    <row r="96" spans="1:3" ht="17.25" customHeight="1">
      <c r="A96" s="147" t="s">
        <v>322</v>
      </c>
      <c r="B96" s="148">
        <f>B89+B90+B93</f>
        <v>0</v>
      </c>
      <c r="C96" s="130"/>
    </row>
    <row r="97" spans="1:3" ht="32.25" customHeight="1">
      <c r="A97" s="362" t="s">
        <v>576</v>
      </c>
      <c r="B97" s="363">
        <v>0</v>
      </c>
      <c r="C97" s="130"/>
    </row>
    <row r="98" ht="18" customHeight="1"/>
    <row r="99" spans="1:3" ht="31.5" customHeight="1">
      <c r="A99" s="347" t="s">
        <v>484</v>
      </c>
      <c r="B99" s="348">
        <f>B94</f>
        <v>3.443526170798898</v>
      </c>
      <c r="C99" s="349" t="s">
        <v>245</v>
      </c>
    </row>
    <row r="100" ht="18" customHeight="1" thickBot="1"/>
    <row r="101" spans="1:4" ht="25.5" customHeight="1" thickBot="1">
      <c r="A101" s="324" t="s">
        <v>485</v>
      </c>
      <c r="B101" s="325" t="s">
        <v>136</v>
      </c>
      <c r="C101" s="325" t="s">
        <v>499</v>
      </c>
      <c r="D101" s="326" t="s">
        <v>553</v>
      </c>
    </row>
    <row r="102" spans="1:4" ht="18" customHeight="1">
      <c r="A102" s="328" t="s">
        <v>486</v>
      </c>
      <c r="B102" s="329">
        <f>IF($B$87&gt;0,'Buffer Budgets'!F4,0)*$B$87+IF($B$88&gt;0,'Buffer Budgets'!F28,0)*$B$88+IF($B$89&gt;0,'Buffer Budgets'!F179,0)*$B$89+IF($B$90&gt;0,'Buffer Budgets'!F53,0)*$B$90+IF($B$91&gt;0,'Buffer Budgets'!F84,0)*$B$91+IF($B$92&gt;0,'Buffer Budgets'!F113,0)*$B$92+IF($B$93&gt;0,'Buffer Budgets'!F142,0)*$B$93</f>
        <v>8154.269972451791</v>
      </c>
      <c r="C102" s="329">
        <f>IF($B$87&gt;0,'Buffer Budgets'!G4,0)*$B$87+IF($B$88&gt;0,'Buffer Budgets'!G28,0)*$B$88+IF($B$89&gt;0,'Buffer Budgets'!G179,0)*$B$89+IF($B$90&gt;0,'Buffer Budgets'!G53,0)*$B$90+IF($B$91&gt;0,'Buffer Budgets'!G84,0)*$B$91+IF($B$92&gt;0,'Buffer Budgets'!G113,0)*$B$92+IF($B$93&gt;0,'Buffer Budgets'!G142,0)*$B$93</f>
        <v>8154.269972451791</v>
      </c>
      <c r="D102" s="330">
        <f>IF(C102&gt;0,C102/$C$112,0)</f>
        <v>0.36036037322068115</v>
      </c>
    </row>
    <row r="103" spans="1:4" ht="18" customHeight="1">
      <c r="A103" s="331" t="s">
        <v>487</v>
      </c>
      <c r="B103" s="151">
        <f>IF($B$87&gt;0,'Buffer Budgets'!F5,0)*$B$87+IF($B$88&gt;0,'Buffer Budgets'!F29,0)*$B$88+IF($B$89&gt;0,'Buffer Budgets'!F180,0)*$B$89+IF($B$90&gt;0,'Buffer Budgets'!F54,0)*$B$90+IF($B$91&gt;0,'Buffer Budgets'!F85+'Buffer Budgets'!F86,0)*$B$91+IF($B$92&gt;0,'Buffer Budgets'!F114+'Buffer Budgets'!F115,0)*$B$92+IF($B$93&gt;0,'Buffer Budgets'!F143+'Buffer Budgets'!F144,0)*$B$93</f>
        <v>1532.3691460055097</v>
      </c>
      <c r="C103" s="151">
        <f>IF($B$87&gt;0,'Buffer Budgets'!G5,0)*$B$87+IF($B$88&gt;0,'Buffer Budgets'!G29,0)*$B$88+IF($B$89&gt;0,'Buffer Budgets'!G180,0)*$B$89+IF($B$90&gt;0,'Buffer Budgets'!G54,0)*$B$90+IF($B$91&gt;0,'Buffer Budgets'!G85+'Buffer Budgets'!G86,0)*$B$91+IF($B$92&gt;0,'Buffer Budgets'!G114+'Buffer Budgets'!G115,0)*$B$92+IF($B$93&gt;0,'Buffer Budgets'!G143+'Buffer Budgets'!G144,0)*$B$93</f>
        <v>5667.943030621076</v>
      </c>
      <c r="D103" s="332">
        <f aca="true" t="shared" si="1" ref="D103:D111">IF(C103&gt;0,C103/$C$112,0)</f>
        <v>0.2504825168664411</v>
      </c>
    </row>
    <row r="104" spans="1:4" ht="18" customHeight="1">
      <c r="A104" s="331" t="s">
        <v>488</v>
      </c>
      <c r="B104" s="151">
        <f>IF($B$87&gt;0,'Buffer Budgets'!F6,0)*$B$87+IF($B$88&gt;0,'Buffer Budgets'!F30,0)*$B$88+IF($B$89&gt;0,'Buffer Budgets'!F181,0)*$B$89+IF($B$90&gt;0,'Buffer Budgets'!F55,0)*$B$90+IF($B$91&gt;0,'Buffer Budgets'!F87,0)*$B$91+IF($B$92&gt;0,'Buffer Budgets'!F116,0)*$B$92+IF($B$93&gt;0,'Buffer Budgets'!F145,0)*$B$93</f>
        <v>792.0110192837466</v>
      </c>
      <c r="C104" s="151">
        <f>IF($B$87&gt;0,'Buffer Budgets'!G6,0)*$B$87+IF($B$88&gt;0,'Buffer Budgets'!G30,0)*$B$88+IF($B$89&gt;0,'Buffer Budgets'!G181,0)*$B$89+IF($B$90&gt;0,'Buffer Budgets'!G55,0)*$B$90+IF($B$91&gt;0,'Buffer Budgets'!G87,0)*$B$91+IF($B$92&gt;0,'Buffer Budgets'!G116,0)*$B$92+IF($B$93&gt;0,'Buffer Budgets'!G145,0)*$B$93</f>
        <v>8805.885362943078</v>
      </c>
      <c r="D104" s="332">
        <f t="shared" si="1"/>
        <v>0.38915710991287783</v>
      </c>
    </row>
    <row r="105" spans="1:4" ht="18" customHeight="1">
      <c r="A105" s="331" t="s">
        <v>489</v>
      </c>
      <c r="B105" s="151">
        <f>IF($B$87&gt;0,'Buffer Budgets'!F7,0)*$B$87+IF($B$88&gt;0,'Buffer Budgets'!F31,0)*$B$88+IF($B$89&gt;0,'Buffer Budgets'!F182,0)*$B$89+IF($B$90&gt;0,'Buffer Budgets'!F56,0)*$B$90+IF($B$91&gt;0,'Buffer Budgets'!F88,0)*$B$91+IF($B$92&gt;0,'Buffer Budgets'!F117,0)*$B$92+IF($B$93&gt;0,'Buffer Budgets'!F146,0)*$B$93</f>
        <v>0</v>
      </c>
      <c r="C105" s="151">
        <f>IF($B$87&gt;0,'Buffer Budgets'!G7,0)*$B$87+IF($B$88&gt;0,'Buffer Budgets'!G31,0)*$B$88+IF($B$89&gt;0,'Buffer Budgets'!G182,0)*$B$89+IF($B$90&gt;0,'Buffer Budgets'!G56,0)*$B$90+IF($B$91&gt;0,'Buffer Budgets'!G88,0)*$B$91+IF($B$92&gt;0,'Buffer Budgets'!G117,0)*$B$92+IF($B$93&gt;0,'Buffer Budgets'!G146,0)*$B$93</f>
        <v>0</v>
      </c>
      <c r="D105" s="332">
        <f t="shared" si="1"/>
        <v>0</v>
      </c>
    </row>
    <row r="106" spans="1:4" ht="18" customHeight="1">
      <c r="A106" s="331" t="s">
        <v>490</v>
      </c>
      <c r="B106" s="151">
        <f>IF($B$90&gt;0,'Buffer Budgets'!F57,0)*$B$90</f>
        <v>0</v>
      </c>
      <c r="C106" s="151">
        <f>IF($B$90&gt;0,'Buffer Budgets'!G57,0)*$B$90</f>
        <v>0</v>
      </c>
      <c r="D106" s="332">
        <f t="shared" si="1"/>
        <v>0</v>
      </c>
    </row>
    <row r="107" spans="1:4" ht="18" customHeight="1">
      <c r="A107" s="331" t="s">
        <v>491</v>
      </c>
      <c r="B107" s="151">
        <f>IF($B$89&gt;0,'Buffer Budgets'!F183,0)*$B$89</f>
        <v>0</v>
      </c>
      <c r="C107" s="151">
        <f>IF($B$89&gt;0,'Buffer Budgets'!G183,0)*$B$89</f>
        <v>0</v>
      </c>
      <c r="D107" s="332">
        <f t="shared" si="1"/>
        <v>0</v>
      </c>
    </row>
    <row r="108" spans="1:4" ht="18" customHeight="1">
      <c r="A108" s="331" t="s">
        <v>492</v>
      </c>
      <c r="B108" s="151">
        <f>IF($B$93&gt;0,'Buffer Budgets'!F147,0)*$B$93</f>
        <v>0</v>
      </c>
      <c r="C108" s="151">
        <f>IF($B$93&gt;0,'Buffer Budgets'!G147,0)*$B$93</f>
        <v>0</v>
      </c>
      <c r="D108" s="332">
        <f t="shared" si="1"/>
        <v>0</v>
      </c>
    </row>
    <row r="109" spans="1:4" ht="18" customHeight="1">
      <c r="A109" s="288" t="s">
        <v>493</v>
      </c>
      <c r="B109" s="436" t="s">
        <v>642</v>
      </c>
      <c r="C109" s="151">
        <f>IF($B$93&gt;0,'Buffer Budgets'!G148+'Buffer Budgets'!G149,0)*$B$93</f>
        <v>0</v>
      </c>
      <c r="D109" s="332">
        <f t="shared" si="1"/>
        <v>0</v>
      </c>
    </row>
    <row r="110" spans="1:7" ht="18" customHeight="1">
      <c r="A110" s="309" t="s">
        <v>494</v>
      </c>
      <c r="B110" s="341">
        <v>0</v>
      </c>
      <c r="C110" s="151">
        <f>B110/'Farm and Buffer Assumptions'!D20</f>
        <v>0</v>
      </c>
      <c r="D110" s="332">
        <f t="shared" si="1"/>
        <v>0</v>
      </c>
      <c r="F110" s="259">
        <f>SUM(D102:D111)</f>
        <v>1</v>
      </c>
      <c r="G110" t="s">
        <v>358</v>
      </c>
    </row>
    <row r="111" spans="1:4" ht="22.5" customHeight="1" thickBot="1">
      <c r="A111" s="340" t="s">
        <v>495</v>
      </c>
      <c r="B111" s="343">
        <v>0</v>
      </c>
      <c r="C111" s="335">
        <f>B111/'Farm and Buffer Assumptions'!D20</f>
        <v>0</v>
      </c>
      <c r="D111" s="336">
        <f t="shared" si="1"/>
        <v>0</v>
      </c>
    </row>
    <row r="112" spans="1:4" ht="22.5" customHeight="1" thickBot="1">
      <c r="A112" s="316" t="s">
        <v>496</v>
      </c>
      <c r="B112" s="317"/>
      <c r="C112" s="318">
        <f>SUM(C102:C111)</f>
        <v>22628.098366015944</v>
      </c>
      <c r="D112" s="319">
        <f>IF(C112&gt;0,C112/C112,0)</f>
        <v>1</v>
      </c>
    </row>
    <row r="113" ht="24.75" customHeight="1"/>
    <row r="114" ht="18" customHeight="1" thickBot="1">
      <c r="A114" s="310" t="s">
        <v>497</v>
      </c>
    </row>
    <row r="115" spans="1:4" ht="18" customHeight="1" thickBot="1">
      <c r="A115" s="327" t="s">
        <v>498</v>
      </c>
      <c r="B115" s="325" t="s">
        <v>136</v>
      </c>
      <c r="C115" s="325" t="s">
        <v>499</v>
      </c>
      <c r="D115" s="325" t="s">
        <v>554</v>
      </c>
    </row>
    <row r="116" spans="1:4" ht="18" customHeight="1">
      <c r="A116" s="337" t="s">
        <v>500</v>
      </c>
      <c r="B116" s="338">
        <f>IF(B87&gt;0,'Buffer Budgets'!F11,0)*B87</f>
        <v>0</v>
      </c>
      <c r="C116" s="338">
        <f>IF(B87&gt;0,'Buffer Budgets'!G11,0)*B87</f>
        <v>0</v>
      </c>
      <c r="D116" s="330">
        <f>C116/$C$143</f>
        <v>0</v>
      </c>
    </row>
    <row r="117" spans="1:4" ht="18" customHeight="1">
      <c r="A117" s="333" t="s">
        <v>501</v>
      </c>
      <c r="B117" s="151">
        <f>IF($B$88&gt;0,'Buffer Budgets'!F35,0)*$B$88+IF($B$89&gt;0,'Buffer Budgets'!F187,0)*$B$89+IF($B$90&gt;0,'Buffer Budgets'!F61,0)*$B$90+IF($B$91&gt;0,'Buffer Budgets'!F92,0)*$B$91+IF($B$92&gt;0,'Buffer Budgets'!F121,0)*$B$92+IF($B$93&gt;0,'Buffer Budgets'!F153,0)*$B$93</f>
        <v>2926.997245179063</v>
      </c>
      <c r="C117" s="151">
        <f>IF($B$88&gt;0,'Buffer Budgets'!G35,0)*$B$88+IF($B$89&gt;0,'Buffer Budgets'!G187,0)*$B$89+IF($B$90&gt;0,'Buffer Budgets'!G61,0)*$B$90+IF($B$91&gt;0,'Buffer Budgets'!G92,0)*$B$91+IF($B$92&gt;0,'Buffer Budgets'!G121,0)*$B$92+IF($B$93&gt;0,'Buffer Budgets'!G153,0)*$B$93</f>
        <v>2926.997245179063</v>
      </c>
      <c r="D117" s="332">
        <f aca="true" t="shared" si="2" ref="D117:D126">C117/$C$143</f>
        <v>0.04540592581578475</v>
      </c>
    </row>
    <row r="118" spans="1:4" ht="18" customHeight="1">
      <c r="A118" s="333" t="s">
        <v>502</v>
      </c>
      <c r="B118" s="151">
        <f>IF(B90&gt;0,'Buffer Budgets'!F62,0)*B90+IF($B$89&gt;0,'Buffer Budgets'!F188,0)*$B$89</f>
        <v>0</v>
      </c>
      <c r="C118" s="151">
        <f>IF(B90&gt;0,'Buffer Budgets'!G62,0)*B90+IF(B89&gt;0,'Buffer Budgets'!G188,0)*B89</f>
        <v>0</v>
      </c>
      <c r="D118" s="332">
        <f t="shared" si="2"/>
        <v>0</v>
      </c>
    </row>
    <row r="119" spans="1:4" ht="18" customHeight="1">
      <c r="A119" s="288" t="s">
        <v>503</v>
      </c>
      <c r="B119" s="151">
        <f>IF($B$88&gt;0,'Buffer Budgets'!F36,0)*$B$88</f>
        <v>0</v>
      </c>
      <c r="C119" s="151">
        <f>IF(B88&gt;0,'Buffer Budgets'!G36,0)*B88</f>
        <v>0</v>
      </c>
      <c r="D119" s="332">
        <f t="shared" si="2"/>
        <v>0</v>
      </c>
    </row>
    <row r="120" spans="1:4" ht="18" customHeight="1">
      <c r="A120" s="288" t="s">
        <v>504</v>
      </c>
      <c r="B120" s="151">
        <f>IF($B$90&gt;0,'Buffer Budgets'!F64,0)*$B$90+IF($B$89&gt;0,'Buffer Budgets'!F190,0)*$B$89</f>
        <v>0</v>
      </c>
      <c r="C120" s="151">
        <f>IF(C90&gt;0,'Buffer Budgets'!G64,0)*C90+IF($B$89&gt;0,'Buffer Budgets'!G190,0)*$B$89</f>
        <v>0</v>
      </c>
      <c r="D120" s="332">
        <f t="shared" si="2"/>
        <v>0</v>
      </c>
    </row>
    <row r="121" spans="1:4" ht="18" customHeight="1">
      <c r="A121" s="288" t="s">
        <v>505</v>
      </c>
      <c r="B121" s="151">
        <f>IF($B$90&gt;0,'Buffer Budgets'!F63,0)*$B$90+IF($B$89&gt;0,'Buffer Budgets'!F189,0)*$B$89</f>
        <v>0</v>
      </c>
      <c r="C121" s="151">
        <f>IF($B$90&gt;0,'Buffer Budgets'!G63,0)*$B$90+IF($B$89&gt;0,'Buffer Budgets'!G189,0)*$B$89</f>
        <v>0</v>
      </c>
      <c r="D121" s="332">
        <f t="shared" si="2"/>
        <v>0</v>
      </c>
    </row>
    <row r="122" spans="1:4" ht="18" customHeight="1">
      <c r="A122" s="331" t="s">
        <v>506</v>
      </c>
      <c r="B122" s="151">
        <f>IF($B$91&gt;0,'Buffer Budgets'!F93,0)*$B$91+IF($B$92&gt;0,'Buffer Budgets'!F122,0)*$B$92+IF($B$93&gt;0,'Buffer Budgets'!F154,0)*$B$93</f>
        <v>3271.349862258953</v>
      </c>
      <c r="C122" s="151">
        <f>IF($B$91&gt;0,'Buffer Budgets'!G93,0)*$B$91+IF($B$92&gt;0,'Buffer Budgets'!G122,0)*$B$92+IF($B$93&gt;0,'Buffer Budgets'!G154,0)*$B$93</f>
        <v>3271.349862258953</v>
      </c>
      <c r="D122" s="332">
        <f t="shared" si="2"/>
        <v>0.0507477994411712</v>
      </c>
    </row>
    <row r="123" spans="1:4" ht="18" customHeight="1">
      <c r="A123" s="331" t="s">
        <v>507</v>
      </c>
      <c r="B123" s="151">
        <f>IF($B$91&gt;0,'Buffer Budgets'!F94,0)*$B$91+IF($B$92&gt;0,'Buffer Budgets'!F123,0)*$B$92+IF($B$93&gt;0,'Buffer Budgets'!F155,0)*$B$93</f>
        <v>1955.922865013774</v>
      </c>
      <c r="C123" s="151">
        <f>IF($B$91&gt;0,'Buffer Budgets'!G94,0)*$B$91+IF($B$92&gt;0,'Buffer Budgets'!G123,0)*$B$92+IF($B$93&gt;0,'Buffer Budgets'!G155,0)*$B$93</f>
        <v>1955.922865013774</v>
      </c>
      <c r="D123" s="332">
        <f t="shared" si="2"/>
        <v>0.03034184219219499</v>
      </c>
    </row>
    <row r="124" spans="1:5" ht="18" customHeight="1">
      <c r="A124" s="331" t="s">
        <v>565</v>
      </c>
      <c r="B124" s="151">
        <f>IF($B$91&gt;0,'Buffer Budgets'!F99,0)*$B$91+IF($B$92&gt;0,'Buffer Budgets'!F128,0)*$B$92+IF($B$93&gt;0,'Buffer Budgets'!F160,0)*$B$93</f>
        <v>327.1349862258953</v>
      </c>
      <c r="C124" s="151">
        <f>IF($B$91&gt;0,'Buffer Budgets'!G99,0)*$B$91+IF($B$92&gt;0,'Buffer Budgets'!G128,0)*$B$92+IF($B$93&gt;0,'Buffer Budgets'!G160,0)*$B$93</f>
        <v>302.454684010628</v>
      </c>
      <c r="D124" s="332">
        <f t="shared" si="2"/>
        <v>0.00469191932703136</v>
      </c>
      <c r="E124" s="259">
        <f>SUM(D116:D126)</f>
        <v>0.1311874867761823</v>
      </c>
    </row>
    <row r="125" spans="1:4" ht="12.75">
      <c r="A125" s="331" t="s">
        <v>508</v>
      </c>
      <c r="B125" s="151">
        <f>C16*C17</f>
        <v>0</v>
      </c>
      <c r="C125" s="151">
        <f>B125</f>
        <v>0</v>
      </c>
      <c r="D125" s="332">
        <f t="shared" si="2"/>
        <v>0</v>
      </c>
    </row>
    <row r="126" spans="1:4" ht="24.75" customHeight="1" thickBot="1">
      <c r="A126" s="339" t="s">
        <v>509</v>
      </c>
      <c r="B126" s="343">
        <v>0</v>
      </c>
      <c r="C126" s="335">
        <f>B126</f>
        <v>0</v>
      </c>
      <c r="D126" s="336">
        <f t="shared" si="2"/>
        <v>0</v>
      </c>
    </row>
    <row r="127" spans="1:4" ht="18" customHeight="1" thickBot="1">
      <c r="A127" s="17"/>
      <c r="B127" s="249"/>
      <c r="C127" s="212"/>
      <c r="D127" s="259"/>
    </row>
    <row r="128" spans="1:4" ht="18" customHeight="1" thickBot="1">
      <c r="A128" s="327" t="s">
        <v>510</v>
      </c>
      <c r="B128" s="325" t="s">
        <v>136</v>
      </c>
      <c r="C128" s="325" t="s">
        <v>499</v>
      </c>
      <c r="D128" s="325" t="s">
        <v>554</v>
      </c>
    </row>
    <row r="129" spans="1:4" ht="18" customHeight="1">
      <c r="A129" s="328" t="s">
        <v>511</v>
      </c>
      <c r="B129" s="329">
        <f>IF($B$88&gt;0,'Buffer Budgets'!F40,0)*$B$88</f>
        <v>0</v>
      </c>
      <c r="C129" s="329">
        <f>IF($B$88&gt;0,'Buffer Budgets'!G40,0)*$B$88</f>
        <v>0</v>
      </c>
      <c r="D129" s="330">
        <f aca="true" t="shared" si="3" ref="D129:D143">C129/$C$143</f>
        <v>0</v>
      </c>
    </row>
    <row r="130" spans="1:4" ht="18" customHeight="1">
      <c r="A130" s="331" t="s">
        <v>512</v>
      </c>
      <c r="B130" s="151">
        <f>IF($B$87&gt;0,'Buffer Budgets'!F15,0)*$B$87+IF($B$91&gt;0,'Buffer Budgets'!F98,0)*$B$91+IF($B$92&gt;0,'Buffer Budgets'!F127,0)*$B$92+IF($B$93&gt;0,'Buffer Budgets'!F159,0)*$B$93</f>
        <v>1205.2341597796144</v>
      </c>
      <c r="C130" s="151">
        <f>IF($B$87&gt;0,'Buffer Budgets'!G15,0)*$B$87+IF($B$91&gt;0,'Buffer Budgets'!G98,0)*$B$91+IF($B$92&gt;0,'Buffer Budgets'!G127,0)*$B$92+IF($B$93&gt;0,'Buffer Budgets'!G159,0)*$B$93</f>
        <v>5365.4883466104475</v>
      </c>
      <c r="D130" s="332">
        <f t="shared" si="3"/>
        <v>0.08323375303236662</v>
      </c>
    </row>
    <row r="131" spans="1:4" ht="18" customHeight="1">
      <c r="A131" s="331" t="s">
        <v>505</v>
      </c>
      <c r="B131" s="151">
        <f>IF($B$90&gt;0,'Buffer Budgets'!F71,0)*$B$90+IF($B$89&gt;0,'Buffer Budgets'!F197,0)*$B$89</f>
        <v>0</v>
      </c>
      <c r="C131" s="151">
        <f>IF($B$90&gt;0,'Buffer Budgets'!G71,0)*$B$90+IF($B$89&gt;0,'Buffer Budgets'!G197,0)*$B$89</f>
        <v>0</v>
      </c>
      <c r="D131" s="332">
        <f t="shared" si="3"/>
        <v>0</v>
      </c>
    </row>
    <row r="132" spans="1:4" ht="18" customHeight="1">
      <c r="A132" s="331" t="s">
        <v>513</v>
      </c>
      <c r="B132" s="151">
        <f>IF($B$90&gt;0,'Buffer Budgets'!F70,0)*$B$90+IF($B$89&gt;0,'Buffer Budgets'!F196,0)*$B$89</f>
        <v>0</v>
      </c>
      <c r="C132" s="151">
        <f>IF($B$90&gt;0,'Buffer Budgets'!G70,0)*$B$90+IF($B$89&gt;0,'Buffer Budgets'!G196,0)*$B$89</f>
        <v>0</v>
      </c>
      <c r="D132" s="332">
        <f t="shared" si="3"/>
        <v>0</v>
      </c>
    </row>
    <row r="133" spans="1:4" ht="18" customHeight="1">
      <c r="A133" s="331" t="s">
        <v>514</v>
      </c>
      <c r="B133" s="151">
        <f>IF($B$90&gt;0,'Buffer Budgets'!F68,0)*$B$90+IF($B$89&gt;0,'Buffer Budgets'!F194,0)*$B$89</f>
        <v>0</v>
      </c>
      <c r="C133" s="151">
        <f>IF($B$90&gt;0,'Buffer Budgets'!G68,0)*$B$90+IF($B$89&gt;0,'Buffer Budgets'!G194,0)*$B$89</f>
        <v>0</v>
      </c>
      <c r="D133" s="332">
        <f t="shared" si="3"/>
        <v>0</v>
      </c>
    </row>
    <row r="134" spans="1:4" ht="18" customHeight="1">
      <c r="A134" s="331" t="s">
        <v>515</v>
      </c>
      <c r="B134" s="151">
        <f>0.1*B125</f>
        <v>0</v>
      </c>
      <c r="C134" s="151">
        <f>B134/'Farm and Buffer Assumptions'!D20</f>
        <v>0</v>
      </c>
      <c r="D134" s="332">
        <f t="shared" si="3"/>
        <v>0</v>
      </c>
    </row>
    <row r="135" spans="1:4" ht="18" customHeight="1">
      <c r="A135" s="331" t="s">
        <v>516</v>
      </c>
      <c r="B135" s="151">
        <f>IF($B$93&gt;0,'Buffer Budgets'!F161,0)*$B$93</f>
        <v>0</v>
      </c>
      <c r="C135" s="151">
        <f>IF($B$93&gt;0,'Buffer Budgets'!G161,0)*$B$93</f>
        <v>0</v>
      </c>
      <c r="D135" s="332">
        <f t="shared" si="3"/>
        <v>0</v>
      </c>
    </row>
    <row r="136" spans="1:4" ht="18" customHeight="1">
      <c r="A136" s="331" t="s">
        <v>517</v>
      </c>
      <c r="B136" s="151">
        <f>IF($B$93&gt;0,'Buffer Budgets'!F162,0)*$B$93</f>
        <v>0</v>
      </c>
      <c r="C136" s="151">
        <f>IF($B$93&gt;0,'Buffer Budgets'!G162,0)*$B$93</f>
        <v>0</v>
      </c>
      <c r="D136" s="332">
        <f t="shared" si="3"/>
        <v>0</v>
      </c>
    </row>
    <row r="137" spans="1:4" ht="18" customHeight="1">
      <c r="A137" s="331" t="s">
        <v>518</v>
      </c>
      <c r="B137" s="151">
        <f>IF($B$93&gt;0,'Buffer Budgets'!F163,0)*$B$93</f>
        <v>0</v>
      </c>
      <c r="C137" s="151">
        <f>IF($B$93&gt;0,'Buffer Budgets'!G163,0)*$B$93</f>
        <v>0</v>
      </c>
      <c r="D137" s="332">
        <f t="shared" si="3"/>
        <v>0</v>
      </c>
    </row>
    <row r="138" spans="1:4" ht="27" customHeight="1">
      <c r="A138" s="331" t="s">
        <v>519</v>
      </c>
      <c r="B138" s="151">
        <f>IF($B$90&gt;0,'Buffer Budgets'!F69,0)*$B$90+IF($B$89&gt;0,'Buffer Budgets'!F195,0)*$B$89</f>
        <v>0</v>
      </c>
      <c r="C138" s="151">
        <f>IF($B$90&gt;0,'Buffer Budgets'!G69,0)*$B$90+IF($B$89&gt;0,'Buffer Budgets'!G195,0)*$B$89+IF($B$93&gt;0,'Buffer Budgets'!G164,0)*$B$93</f>
        <v>0</v>
      </c>
      <c r="D138" s="332">
        <f t="shared" si="3"/>
        <v>0</v>
      </c>
    </row>
    <row r="139" spans="1:4" ht="18.75" customHeight="1">
      <c r="A139" s="331" t="s">
        <v>552</v>
      </c>
      <c r="B139" s="436" t="s">
        <v>643</v>
      </c>
      <c r="C139" s="151">
        <f>IF($B$93&gt;0,'Buffer Budgets'!G165)*$B$93</f>
        <v>0</v>
      </c>
      <c r="D139" s="332">
        <f t="shared" si="3"/>
        <v>0</v>
      </c>
    </row>
    <row r="140" spans="1:4" ht="36.75" customHeight="1">
      <c r="A140" s="876" t="s">
        <v>861</v>
      </c>
      <c r="B140" s="436">
        <f>(-PV('Farm and Buffer Assumptions'!D20,'Farm and Buffer Assumptions'!D31,-'Econ Impact Summary'!D14+'Buffer Builder'!B150)-SUM(C116:C139)-C141-C142)*'Farm and Buffer Assumptions'!D20</f>
        <v>2025.6271186103297</v>
      </c>
      <c r="C140" s="151">
        <f>B140/'Farm and Buffer Assumptions'!D20</f>
        <v>50640.67796525824</v>
      </c>
      <c r="D140" s="332">
        <f t="shared" si="3"/>
        <v>0.7855787601914511</v>
      </c>
    </row>
    <row r="141" spans="1:4" ht="20.25" customHeight="1">
      <c r="A141" s="388" t="s">
        <v>663</v>
      </c>
      <c r="B141" s="457">
        <v>0</v>
      </c>
      <c r="C141" s="151">
        <f>B141/'Farm and Buffer Assumptions'!D20</f>
        <v>0</v>
      </c>
      <c r="D141" s="332">
        <f t="shared" si="3"/>
        <v>0</v>
      </c>
    </row>
    <row r="142" spans="1:4" ht="30" customHeight="1" thickBot="1">
      <c r="A142" s="334" t="s">
        <v>509</v>
      </c>
      <c r="B142" s="343">
        <v>0</v>
      </c>
      <c r="C142" s="335">
        <f>B142/'Farm and Buffer Assumptions'!D20</f>
        <v>0</v>
      </c>
      <c r="D142" s="336">
        <f t="shared" si="3"/>
        <v>0</v>
      </c>
    </row>
    <row r="143" spans="1:4" ht="30" customHeight="1" thickBot="1">
      <c r="A143" s="316" t="s">
        <v>520</v>
      </c>
      <c r="B143" s="317"/>
      <c r="C143" s="317">
        <f>SUM(C116:C142)</f>
        <v>64462.89096833111</v>
      </c>
      <c r="D143" s="320">
        <f t="shared" si="3"/>
        <v>1</v>
      </c>
    </row>
    <row r="144" spans="1:4" ht="22.5" customHeight="1">
      <c r="A144" s="321" t="s">
        <v>600</v>
      </c>
      <c r="B144" s="322"/>
      <c r="C144" s="487">
        <f>C112-C143</f>
        <v>-41834.79260231517</v>
      </c>
      <c r="D144" s="323"/>
    </row>
    <row r="145" spans="1:4" ht="66" customHeight="1">
      <c r="A145" s="321" t="s">
        <v>601</v>
      </c>
      <c r="B145" s="322"/>
      <c r="C145" s="487">
        <f>C144/B99</f>
        <v>-12148.823771712325</v>
      </c>
      <c r="D145" s="323"/>
    </row>
    <row r="146" spans="1:3" ht="13.5" customHeight="1">
      <c r="A146" s="250"/>
      <c r="B146" s="251"/>
      <c r="C146" s="251"/>
    </row>
    <row r="147" spans="1:3" ht="18.75" thickBot="1">
      <c r="A147" s="928" t="s">
        <v>566</v>
      </c>
      <c r="B147" s="929"/>
      <c r="C147" s="929"/>
    </row>
    <row r="148" ht="19.5" customHeight="1" thickBot="1"/>
    <row r="149" spans="1:4" ht="27.75" customHeight="1" thickBot="1">
      <c r="A149" s="360" t="str">
        <f>"Annualized Revenues (Costs) over "&amp;'Farm and Buffer Assumptions'!D31&amp;" Years"</f>
        <v>Annualized Revenues (Costs) over 15 Years</v>
      </c>
      <c r="B149" s="352" t="s">
        <v>86</v>
      </c>
      <c r="C149" s="300" t="s">
        <v>568</v>
      </c>
      <c r="D149" s="300" t="s">
        <v>569</v>
      </c>
    </row>
    <row r="150" spans="1:4" ht="19.5" customHeight="1">
      <c r="A150" s="357" t="s">
        <v>521</v>
      </c>
      <c r="B150" s="358">
        <f>PMT('Farm and Buffer Assumptions'!D20,'Farm and Buffer Assumptions'!D31,-C112)</f>
        <v>2035.196066342093</v>
      </c>
      <c r="C150" s="358"/>
      <c r="D150" s="359"/>
    </row>
    <row r="151" spans="1:4" ht="12.75">
      <c r="A151" s="276" t="s">
        <v>522</v>
      </c>
      <c r="B151" s="353">
        <f>PMT('Farm and Buffer Assumptions'!D20,'Farm and Buffer Assumptions'!D31,-C143)</f>
        <v>5797.863346785765</v>
      </c>
      <c r="C151" s="353"/>
      <c r="D151" s="354"/>
    </row>
    <row r="152" spans="1:4" ht="13.5" thickBot="1">
      <c r="A152" s="293" t="s">
        <v>523</v>
      </c>
      <c r="B152" s="355">
        <f>B150-B151</f>
        <v>-3762.667280443672</v>
      </c>
      <c r="C152" s="355">
        <f>B152/$B$99</f>
        <v>-1092.6785782408424</v>
      </c>
      <c r="D152" s="356">
        <f>B152/'Annual Budget w. Buffer'!B8</f>
        <v>-277.5550137779014</v>
      </c>
    </row>
  </sheetData>
  <sheetProtection/>
  <mergeCells count="3">
    <mergeCell ref="A3:C4"/>
    <mergeCell ref="A147:C147"/>
    <mergeCell ref="A2:C2"/>
  </mergeCells>
  <printOptions/>
  <pageMargins left="0.5" right="0.5" top="0.75" bottom="0.75" header="0.34" footer="0.45"/>
  <pageSetup fitToHeight="4" orientation="portrait" scale="72" r:id="rId3"/>
  <headerFooter alignWithMargins="0">
    <oddHeader>&amp;LFile: &amp;F, Sheet: &amp;A&amp;R&amp;D, &amp;T</oddHeader>
    <oddFooter>&amp;LPrepared by:
Resource Consulting</oddFooter>
  </headerFooter>
  <rowBreaks count="3" manualBreakCount="3">
    <brk id="59" max="3" man="1"/>
    <brk id="96" max="3" man="1"/>
    <brk id="143" max="3" man="1"/>
  </rowBreaks>
  <legacyDrawing r:id="rId2"/>
</worksheet>
</file>

<file path=xl/worksheets/sheet14.xml><?xml version="1.0" encoding="utf-8"?>
<worksheet xmlns="http://schemas.openxmlformats.org/spreadsheetml/2006/main" xmlns:r="http://schemas.openxmlformats.org/officeDocument/2006/relationships">
  <sheetPr codeName="Sheet7">
    <pageSetUpPr fitToPage="1"/>
  </sheetPr>
  <dimension ref="A1:DF215"/>
  <sheetViews>
    <sheetView zoomScalePageLayoutView="0" workbookViewId="0" topLeftCell="A1">
      <selection activeCell="A1" sqref="A1"/>
    </sheetView>
  </sheetViews>
  <sheetFormatPr defaultColWidth="9.140625" defaultRowHeight="12.75"/>
  <cols>
    <col min="1" max="1" width="47.00390625" style="0" customWidth="1"/>
    <col min="5" max="5" width="10.57421875" style="0" customWidth="1"/>
    <col min="6" max="6" width="12.7109375" style="0" customWidth="1"/>
    <col min="7" max="7" width="13.28125" style="0" customWidth="1"/>
    <col min="8" max="8" width="40.00390625" style="0" customWidth="1"/>
    <col min="10" max="10" width="27.28125" style="0" customWidth="1"/>
    <col min="11" max="11" width="10.28125" style="0" bestFit="1" customWidth="1"/>
    <col min="13" max="13" width="11.57421875" style="0" bestFit="1" customWidth="1"/>
    <col min="14" max="14" width="10.421875" style="0" bestFit="1" customWidth="1"/>
    <col min="16" max="16" width="9.7109375" style="0" bestFit="1" customWidth="1"/>
  </cols>
  <sheetData>
    <row r="1" spans="1:11" ht="47.25" customHeight="1" thickBot="1">
      <c r="A1" s="149" t="s">
        <v>324</v>
      </c>
      <c r="H1" s="1"/>
      <c r="K1" t="s">
        <v>325</v>
      </c>
    </row>
    <row r="2" spans="1:110" ht="45" customHeight="1" thickBot="1">
      <c r="A2" s="396" t="s">
        <v>326</v>
      </c>
      <c r="B2" s="394" t="s">
        <v>327</v>
      </c>
      <c r="C2" s="380" t="s">
        <v>83</v>
      </c>
      <c r="D2" s="381" t="s">
        <v>84</v>
      </c>
      <c r="E2" s="381" t="s">
        <v>85</v>
      </c>
      <c r="F2" s="381" t="s">
        <v>86</v>
      </c>
      <c r="G2" s="381" t="s">
        <v>328</v>
      </c>
      <c r="H2" s="380" t="s">
        <v>329</v>
      </c>
      <c r="J2" s="150" t="s">
        <v>330</v>
      </c>
      <c r="K2" s="97">
        <v>1</v>
      </c>
      <c r="L2" s="97">
        <v>2</v>
      </c>
      <c r="M2" s="97">
        <v>3</v>
      </c>
      <c r="N2" s="97">
        <v>4</v>
      </c>
      <c r="O2" s="97">
        <v>5</v>
      </c>
      <c r="P2" s="97">
        <v>6</v>
      </c>
      <c r="Q2" s="97">
        <v>7</v>
      </c>
      <c r="R2" s="97">
        <v>8</v>
      </c>
      <c r="S2" s="97">
        <v>9</v>
      </c>
      <c r="T2" s="97">
        <v>10</v>
      </c>
      <c r="U2" s="97">
        <v>11</v>
      </c>
      <c r="V2" s="97">
        <v>12</v>
      </c>
      <c r="W2" s="97">
        <v>13</v>
      </c>
      <c r="X2" s="97">
        <v>14</v>
      </c>
      <c r="Y2" s="97">
        <v>15</v>
      </c>
      <c r="Z2" s="95">
        <v>16</v>
      </c>
      <c r="AA2" s="95">
        <v>17</v>
      </c>
      <c r="AB2" s="95">
        <v>18</v>
      </c>
      <c r="AC2" s="95">
        <v>19</v>
      </c>
      <c r="AD2" s="95">
        <v>20</v>
      </c>
      <c r="AE2" s="95">
        <v>21</v>
      </c>
      <c r="AF2" s="95">
        <v>22</v>
      </c>
      <c r="AG2" s="95">
        <v>23</v>
      </c>
      <c r="AH2" s="95">
        <v>24</v>
      </c>
      <c r="AI2" s="95">
        <v>25</v>
      </c>
      <c r="AJ2" s="95">
        <v>26</v>
      </c>
      <c r="AK2" s="95">
        <v>27</v>
      </c>
      <c r="AL2" s="95">
        <v>28</v>
      </c>
      <c r="AM2" s="95">
        <v>29</v>
      </c>
      <c r="AN2" s="95">
        <v>30</v>
      </c>
      <c r="AO2" s="95">
        <v>31</v>
      </c>
      <c r="AP2" s="95">
        <v>32</v>
      </c>
      <c r="AQ2" s="95">
        <v>33</v>
      </c>
      <c r="AR2" s="95">
        <v>34</v>
      </c>
      <c r="AS2" s="95">
        <v>35</v>
      </c>
      <c r="AT2" s="95">
        <v>36</v>
      </c>
      <c r="AU2" s="95">
        <v>37</v>
      </c>
      <c r="AV2" s="95">
        <v>38</v>
      </c>
      <c r="AW2" s="95">
        <v>39</v>
      </c>
      <c r="AX2" s="95">
        <v>40</v>
      </c>
      <c r="AY2" s="95">
        <v>41</v>
      </c>
      <c r="AZ2" s="95">
        <v>42</v>
      </c>
      <c r="BA2" s="95">
        <v>43</v>
      </c>
      <c r="BB2" s="95">
        <v>44</v>
      </c>
      <c r="BC2" s="95">
        <v>45</v>
      </c>
      <c r="BD2" s="95">
        <v>46</v>
      </c>
      <c r="BE2" s="95">
        <v>47</v>
      </c>
      <c r="BF2" s="95">
        <v>48</v>
      </c>
      <c r="BG2" s="95">
        <v>49</v>
      </c>
      <c r="BH2" s="95">
        <v>50</v>
      </c>
      <c r="BI2" s="95">
        <v>51</v>
      </c>
      <c r="BJ2" s="95">
        <v>52</v>
      </c>
      <c r="BK2" s="95">
        <v>53</v>
      </c>
      <c r="BL2" s="95">
        <v>54</v>
      </c>
      <c r="BM2" s="95">
        <v>55</v>
      </c>
      <c r="BN2" s="95">
        <v>56</v>
      </c>
      <c r="BO2" s="95">
        <v>57</v>
      </c>
      <c r="BP2" s="95">
        <v>58</v>
      </c>
      <c r="BQ2" s="95">
        <v>59</v>
      </c>
      <c r="BR2" s="95">
        <v>60</v>
      </c>
      <c r="BS2" s="95">
        <v>61</v>
      </c>
      <c r="BT2" s="95">
        <v>62</v>
      </c>
      <c r="BU2" s="95">
        <v>63</v>
      </c>
      <c r="BV2" s="95">
        <v>64</v>
      </c>
      <c r="BW2" s="95">
        <v>65</v>
      </c>
      <c r="BX2" s="95">
        <v>66</v>
      </c>
      <c r="BY2" s="95">
        <v>67</v>
      </c>
      <c r="BZ2" s="95">
        <v>68</v>
      </c>
      <c r="CA2" s="95">
        <v>69</v>
      </c>
      <c r="CB2" s="95">
        <v>70</v>
      </c>
      <c r="CC2" s="95">
        <v>71</v>
      </c>
      <c r="CD2" s="95">
        <v>72</v>
      </c>
      <c r="CE2" s="95">
        <v>73</v>
      </c>
      <c r="CF2" s="95">
        <v>74</v>
      </c>
      <c r="CG2" s="95">
        <v>75</v>
      </c>
      <c r="CH2" s="95">
        <v>76</v>
      </c>
      <c r="CI2" s="95">
        <v>77</v>
      </c>
      <c r="CJ2" s="95">
        <v>78</v>
      </c>
      <c r="CK2" s="95">
        <v>79</v>
      </c>
      <c r="CL2" s="95">
        <v>80</v>
      </c>
      <c r="CM2" s="95">
        <v>81</v>
      </c>
      <c r="CN2" s="95">
        <v>82</v>
      </c>
      <c r="CO2" s="95">
        <v>83</v>
      </c>
      <c r="CP2" s="95">
        <v>84</v>
      </c>
      <c r="CQ2" s="95">
        <v>85</v>
      </c>
      <c r="CR2" s="95">
        <v>86</v>
      </c>
      <c r="CS2" s="95">
        <v>87</v>
      </c>
      <c r="CT2" s="95">
        <v>88</v>
      </c>
      <c r="CU2" s="95">
        <v>89</v>
      </c>
      <c r="CV2" s="95">
        <v>90</v>
      </c>
      <c r="CW2" s="95">
        <v>91</v>
      </c>
      <c r="CX2" s="95">
        <v>92</v>
      </c>
      <c r="CY2" s="95">
        <v>93</v>
      </c>
      <c r="CZ2" s="95">
        <v>94</v>
      </c>
      <c r="DA2" s="95">
        <v>95</v>
      </c>
      <c r="DB2" s="95">
        <v>96</v>
      </c>
      <c r="DC2" s="95">
        <v>97</v>
      </c>
      <c r="DD2" s="95">
        <v>98</v>
      </c>
      <c r="DE2" s="95">
        <v>99</v>
      </c>
      <c r="DF2" s="95">
        <v>100</v>
      </c>
    </row>
    <row r="3" spans="1:110" ht="21" customHeight="1">
      <c r="A3" s="397" t="s">
        <v>393</v>
      </c>
      <c r="B3" s="398"/>
      <c r="C3" s="386"/>
      <c r="D3" s="387"/>
      <c r="E3" s="399"/>
      <c r="F3" s="387"/>
      <c r="G3" s="466"/>
      <c r="H3" s="473"/>
      <c r="J3" s="97" t="s">
        <v>331</v>
      </c>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row>
    <row r="4" spans="1:110" ht="18" customHeight="1">
      <c r="A4" s="96" t="s">
        <v>332</v>
      </c>
      <c r="B4" s="97">
        <v>1</v>
      </c>
      <c r="C4" s="97" t="s">
        <v>93</v>
      </c>
      <c r="D4" s="97">
        <f>IF('Farm and Buffer Assumptions'!D45=1,F12*'Farm and Buffer Assumptions'!D38,0)</f>
        <v>50</v>
      </c>
      <c r="E4" s="139">
        <v>1</v>
      </c>
      <c r="F4" s="151">
        <f>E4*D4</f>
        <v>50</v>
      </c>
      <c r="G4" s="467">
        <f>F4</f>
        <v>50</v>
      </c>
      <c r="H4" s="96"/>
      <c r="J4" s="97" t="s">
        <v>333</v>
      </c>
      <c r="K4" s="151">
        <f>F4</f>
        <v>50</v>
      </c>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row>
    <row r="5" spans="1:110" ht="18" customHeight="1">
      <c r="A5" s="96" t="s">
        <v>334</v>
      </c>
      <c r="B5" s="97">
        <f>'Farm and Buffer Assumptions'!D41</f>
        <v>5</v>
      </c>
      <c r="C5" s="97" t="s">
        <v>93</v>
      </c>
      <c r="D5" s="97">
        <f>IF('Farm and Buffer Assumptions'!D46=1,F16*'Farm and Buffer Assumptions'!D39,0)</f>
        <v>350</v>
      </c>
      <c r="E5" s="139">
        <v>1</v>
      </c>
      <c r="F5" s="151">
        <f>E5*D5</f>
        <v>350</v>
      </c>
      <c r="G5" s="467">
        <f>(PV('Farm and Buffer Assumptions'!$D$20,B5,-F5))</f>
        <v>1558.137815855674</v>
      </c>
      <c r="H5" s="96">
        <f>D5*((1+'Farm and Buffer Assumptions'!D20)^B5-1)/('Farm and Buffer Assumptions'!D20*(1+'Farm and Buffer Assumptions'!D20)^B5)</f>
        <v>1558.137815855674</v>
      </c>
      <c r="J5" s="97" t="s">
        <v>335</v>
      </c>
      <c r="K5" s="151">
        <f>IF(K2=($B$5+1),$F$5,IF(K2&lt;=$B$5,$F$5,0))</f>
        <v>350</v>
      </c>
      <c r="L5" s="151">
        <f>IF(L2=($B$5+1),$F$5,IF(L2&lt;=$B$5,$F$5,0))</f>
        <v>350</v>
      </c>
      <c r="M5" s="151">
        <f>IF(M2=($B$5+1),$F$5,IF(M2&lt;=$B$5,$F$5,0))</f>
        <v>350</v>
      </c>
      <c r="N5" s="151">
        <f>IF(N2&lt;=$B$5,$F$5,0)</f>
        <v>350</v>
      </c>
      <c r="O5" s="151">
        <f aca="true" t="shared" si="0" ref="O5:BZ5">IF(O2&lt;=$B$5,$F$5,0)</f>
        <v>350</v>
      </c>
      <c r="P5" s="151">
        <f t="shared" si="0"/>
        <v>0</v>
      </c>
      <c r="Q5" s="151">
        <f t="shared" si="0"/>
        <v>0</v>
      </c>
      <c r="R5" s="151">
        <f t="shared" si="0"/>
        <v>0</v>
      </c>
      <c r="S5" s="151">
        <f t="shared" si="0"/>
        <v>0</v>
      </c>
      <c r="T5" s="151">
        <f t="shared" si="0"/>
        <v>0</v>
      </c>
      <c r="U5" s="151">
        <f t="shared" si="0"/>
        <v>0</v>
      </c>
      <c r="V5" s="151">
        <f t="shared" si="0"/>
        <v>0</v>
      </c>
      <c r="W5" s="151">
        <f t="shared" si="0"/>
        <v>0</v>
      </c>
      <c r="X5" s="151">
        <f t="shared" si="0"/>
        <v>0</v>
      </c>
      <c r="Y5" s="151">
        <f t="shared" si="0"/>
        <v>0</v>
      </c>
      <c r="Z5" s="151">
        <f t="shared" si="0"/>
        <v>0</v>
      </c>
      <c r="AA5" s="151">
        <f t="shared" si="0"/>
        <v>0</v>
      </c>
      <c r="AB5" s="151">
        <f t="shared" si="0"/>
        <v>0</v>
      </c>
      <c r="AC5" s="151">
        <f t="shared" si="0"/>
        <v>0</v>
      </c>
      <c r="AD5" s="151">
        <f t="shared" si="0"/>
        <v>0</v>
      </c>
      <c r="AE5" s="151">
        <f t="shared" si="0"/>
        <v>0</v>
      </c>
      <c r="AF5" s="151">
        <f t="shared" si="0"/>
        <v>0</v>
      </c>
      <c r="AG5" s="151">
        <f t="shared" si="0"/>
        <v>0</v>
      </c>
      <c r="AH5" s="151">
        <f t="shared" si="0"/>
        <v>0</v>
      </c>
      <c r="AI5" s="151">
        <f t="shared" si="0"/>
        <v>0</v>
      </c>
      <c r="AJ5" s="151">
        <f t="shared" si="0"/>
        <v>0</v>
      </c>
      <c r="AK5" s="151">
        <f t="shared" si="0"/>
        <v>0</v>
      </c>
      <c r="AL5" s="151">
        <f t="shared" si="0"/>
        <v>0</v>
      </c>
      <c r="AM5" s="151">
        <f t="shared" si="0"/>
        <v>0</v>
      </c>
      <c r="AN5" s="151">
        <f t="shared" si="0"/>
        <v>0</v>
      </c>
      <c r="AO5" s="151">
        <f t="shared" si="0"/>
        <v>0</v>
      </c>
      <c r="AP5" s="151">
        <f t="shared" si="0"/>
        <v>0</v>
      </c>
      <c r="AQ5" s="151">
        <f t="shared" si="0"/>
        <v>0</v>
      </c>
      <c r="AR5" s="151">
        <f t="shared" si="0"/>
        <v>0</v>
      </c>
      <c r="AS5" s="151">
        <f t="shared" si="0"/>
        <v>0</v>
      </c>
      <c r="AT5" s="151">
        <f t="shared" si="0"/>
        <v>0</v>
      </c>
      <c r="AU5" s="151">
        <f t="shared" si="0"/>
        <v>0</v>
      </c>
      <c r="AV5" s="151">
        <f t="shared" si="0"/>
        <v>0</v>
      </c>
      <c r="AW5" s="151">
        <f t="shared" si="0"/>
        <v>0</v>
      </c>
      <c r="AX5" s="151">
        <f t="shared" si="0"/>
        <v>0</v>
      </c>
      <c r="AY5" s="151">
        <f t="shared" si="0"/>
        <v>0</v>
      </c>
      <c r="AZ5" s="151">
        <f t="shared" si="0"/>
        <v>0</v>
      </c>
      <c r="BA5" s="151">
        <f t="shared" si="0"/>
        <v>0</v>
      </c>
      <c r="BB5" s="151">
        <f t="shared" si="0"/>
        <v>0</v>
      </c>
      <c r="BC5" s="151">
        <f t="shared" si="0"/>
        <v>0</v>
      </c>
      <c r="BD5" s="151">
        <f t="shared" si="0"/>
        <v>0</v>
      </c>
      <c r="BE5" s="151">
        <f t="shared" si="0"/>
        <v>0</v>
      </c>
      <c r="BF5" s="151">
        <f t="shared" si="0"/>
        <v>0</v>
      </c>
      <c r="BG5" s="151">
        <f t="shared" si="0"/>
        <v>0</v>
      </c>
      <c r="BH5" s="151">
        <f t="shared" si="0"/>
        <v>0</v>
      </c>
      <c r="BI5" s="151">
        <f t="shared" si="0"/>
        <v>0</v>
      </c>
      <c r="BJ5" s="151">
        <f t="shared" si="0"/>
        <v>0</v>
      </c>
      <c r="BK5" s="151">
        <f t="shared" si="0"/>
        <v>0</v>
      </c>
      <c r="BL5" s="151">
        <f t="shared" si="0"/>
        <v>0</v>
      </c>
      <c r="BM5" s="151">
        <f t="shared" si="0"/>
        <v>0</v>
      </c>
      <c r="BN5" s="151">
        <f t="shared" si="0"/>
        <v>0</v>
      </c>
      <c r="BO5" s="151">
        <f t="shared" si="0"/>
        <v>0</v>
      </c>
      <c r="BP5" s="151">
        <f t="shared" si="0"/>
        <v>0</v>
      </c>
      <c r="BQ5" s="151">
        <f t="shared" si="0"/>
        <v>0</v>
      </c>
      <c r="BR5" s="151">
        <f t="shared" si="0"/>
        <v>0</v>
      </c>
      <c r="BS5" s="151">
        <f t="shared" si="0"/>
        <v>0</v>
      </c>
      <c r="BT5" s="151">
        <f t="shared" si="0"/>
        <v>0</v>
      </c>
      <c r="BU5" s="151">
        <f t="shared" si="0"/>
        <v>0</v>
      </c>
      <c r="BV5" s="151">
        <f t="shared" si="0"/>
        <v>0</v>
      </c>
      <c r="BW5" s="151">
        <f t="shared" si="0"/>
        <v>0</v>
      </c>
      <c r="BX5" s="151">
        <f t="shared" si="0"/>
        <v>0</v>
      </c>
      <c r="BY5" s="151">
        <f t="shared" si="0"/>
        <v>0</v>
      </c>
      <c r="BZ5" s="151">
        <f t="shared" si="0"/>
        <v>0</v>
      </c>
      <c r="CA5" s="151">
        <f aca="true" t="shared" si="1" ref="CA5:DF5">IF(CA2&lt;=$B$5,$F$5,0)</f>
        <v>0</v>
      </c>
      <c r="CB5" s="151">
        <f t="shared" si="1"/>
        <v>0</v>
      </c>
      <c r="CC5" s="151">
        <f t="shared" si="1"/>
        <v>0</v>
      </c>
      <c r="CD5" s="151">
        <f t="shared" si="1"/>
        <v>0</v>
      </c>
      <c r="CE5" s="151">
        <f t="shared" si="1"/>
        <v>0</v>
      </c>
      <c r="CF5" s="151">
        <f t="shared" si="1"/>
        <v>0</v>
      </c>
      <c r="CG5" s="151">
        <f t="shared" si="1"/>
        <v>0</v>
      </c>
      <c r="CH5" s="151">
        <f t="shared" si="1"/>
        <v>0</v>
      </c>
      <c r="CI5" s="151">
        <f t="shared" si="1"/>
        <v>0</v>
      </c>
      <c r="CJ5" s="151">
        <f t="shared" si="1"/>
        <v>0</v>
      </c>
      <c r="CK5" s="151">
        <f t="shared" si="1"/>
        <v>0</v>
      </c>
      <c r="CL5" s="151">
        <f t="shared" si="1"/>
        <v>0</v>
      </c>
      <c r="CM5" s="151">
        <f t="shared" si="1"/>
        <v>0</v>
      </c>
      <c r="CN5" s="151">
        <f t="shared" si="1"/>
        <v>0</v>
      </c>
      <c r="CO5" s="151">
        <f t="shared" si="1"/>
        <v>0</v>
      </c>
      <c r="CP5" s="151">
        <f t="shared" si="1"/>
        <v>0</v>
      </c>
      <c r="CQ5" s="151">
        <f t="shared" si="1"/>
        <v>0</v>
      </c>
      <c r="CR5" s="151">
        <f t="shared" si="1"/>
        <v>0</v>
      </c>
      <c r="CS5" s="151">
        <f t="shared" si="1"/>
        <v>0</v>
      </c>
      <c r="CT5" s="151">
        <f t="shared" si="1"/>
        <v>0</v>
      </c>
      <c r="CU5" s="151">
        <f t="shared" si="1"/>
        <v>0</v>
      </c>
      <c r="CV5" s="151">
        <f t="shared" si="1"/>
        <v>0</v>
      </c>
      <c r="CW5" s="151">
        <f t="shared" si="1"/>
        <v>0</v>
      </c>
      <c r="CX5" s="151">
        <f t="shared" si="1"/>
        <v>0</v>
      </c>
      <c r="CY5" s="151">
        <f t="shared" si="1"/>
        <v>0</v>
      </c>
      <c r="CZ5" s="151">
        <f t="shared" si="1"/>
        <v>0</v>
      </c>
      <c r="DA5" s="151">
        <f t="shared" si="1"/>
        <v>0</v>
      </c>
      <c r="DB5" s="151">
        <f t="shared" si="1"/>
        <v>0</v>
      </c>
      <c r="DC5" s="151">
        <f t="shared" si="1"/>
        <v>0</v>
      </c>
      <c r="DD5" s="151">
        <f t="shared" si="1"/>
        <v>0</v>
      </c>
      <c r="DE5" s="151">
        <f t="shared" si="1"/>
        <v>0</v>
      </c>
      <c r="DF5" s="151">
        <f t="shared" si="1"/>
        <v>0</v>
      </c>
    </row>
    <row r="6" spans="1:110" ht="18" customHeight="1">
      <c r="A6" s="97" t="s">
        <v>336</v>
      </c>
      <c r="B6" s="97">
        <f>'Farm and Buffer Assumptions'!D35</f>
        <v>15</v>
      </c>
      <c r="C6" s="97" t="s">
        <v>93</v>
      </c>
      <c r="D6" s="97">
        <f>IF('Farm and Buffer Assumptions'!D43=1,'Buffer input prices'!D21*'Farm and Buffer Assumptions'!D36,0)</f>
        <v>230</v>
      </c>
      <c r="E6" s="139">
        <v>1</v>
      </c>
      <c r="F6" s="151">
        <f>E6*D6</f>
        <v>230</v>
      </c>
      <c r="G6" s="467">
        <f>-PV('Farm and Buffer Assumptions'!D20,B6,F6)</f>
        <v>2557.2291093986696</v>
      </c>
      <c r="H6" s="96"/>
      <c r="J6" s="97" t="s">
        <v>337</v>
      </c>
      <c r="K6" s="151">
        <f>IF(K2&lt;=$B$6,$F$6,0)</f>
        <v>230</v>
      </c>
      <c r="L6" s="151">
        <f aca="true" t="shared" si="2" ref="L6:BW6">IF(L2&lt;=$B$6,$F$6,0)</f>
        <v>230</v>
      </c>
      <c r="M6" s="151">
        <f t="shared" si="2"/>
        <v>230</v>
      </c>
      <c r="N6" s="151">
        <f t="shared" si="2"/>
        <v>230</v>
      </c>
      <c r="O6" s="151">
        <f t="shared" si="2"/>
        <v>230</v>
      </c>
      <c r="P6" s="151">
        <f t="shared" si="2"/>
        <v>230</v>
      </c>
      <c r="Q6" s="151">
        <f t="shared" si="2"/>
        <v>230</v>
      </c>
      <c r="R6" s="151">
        <f t="shared" si="2"/>
        <v>230</v>
      </c>
      <c r="S6" s="151">
        <f t="shared" si="2"/>
        <v>230</v>
      </c>
      <c r="T6" s="151">
        <f t="shared" si="2"/>
        <v>230</v>
      </c>
      <c r="U6" s="151">
        <f t="shared" si="2"/>
        <v>230</v>
      </c>
      <c r="V6" s="151">
        <f t="shared" si="2"/>
        <v>230</v>
      </c>
      <c r="W6" s="151">
        <f t="shared" si="2"/>
        <v>230</v>
      </c>
      <c r="X6" s="151">
        <f t="shared" si="2"/>
        <v>230</v>
      </c>
      <c r="Y6" s="151">
        <f t="shared" si="2"/>
        <v>230</v>
      </c>
      <c r="Z6" s="151">
        <f t="shared" si="2"/>
        <v>0</v>
      </c>
      <c r="AA6" s="151">
        <f t="shared" si="2"/>
        <v>0</v>
      </c>
      <c r="AB6" s="151">
        <f t="shared" si="2"/>
        <v>0</v>
      </c>
      <c r="AC6" s="151">
        <f t="shared" si="2"/>
        <v>0</v>
      </c>
      <c r="AD6" s="151">
        <f t="shared" si="2"/>
        <v>0</v>
      </c>
      <c r="AE6" s="151">
        <f t="shared" si="2"/>
        <v>0</v>
      </c>
      <c r="AF6" s="151">
        <f t="shared" si="2"/>
        <v>0</v>
      </c>
      <c r="AG6" s="151">
        <f t="shared" si="2"/>
        <v>0</v>
      </c>
      <c r="AH6" s="151">
        <f t="shared" si="2"/>
        <v>0</v>
      </c>
      <c r="AI6" s="151">
        <f t="shared" si="2"/>
        <v>0</v>
      </c>
      <c r="AJ6" s="151">
        <f t="shared" si="2"/>
        <v>0</v>
      </c>
      <c r="AK6" s="151">
        <f t="shared" si="2"/>
        <v>0</v>
      </c>
      <c r="AL6" s="151">
        <f t="shared" si="2"/>
        <v>0</v>
      </c>
      <c r="AM6" s="151">
        <f t="shared" si="2"/>
        <v>0</v>
      </c>
      <c r="AN6" s="151">
        <f t="shared" si="2"/>
        <v>0</v>
      </c>
      <c r="AO6" s="151">
        <f t="shared" si="2"/>
        <v>0</v>
      </c>
      <c r="AP6" s="151">
        <f t="shared" si="2"/>
        <v>0</v>
      </c>
      <c r="AQ6" s="151">
        <f t="shared" si="2"/>
        <v>0</v>
      </c>
      <c r="AR6" s="151">
        <f t="shared" si="2"/>
        <v>0</v>
      </c>
      <c r="AS6" s="151">
        <f t="shared" si="2"/>
        <v>0</v>
      </c>
      <c r="AT6" s="151">
        <f t="shared" si="2"/>
        <v>0</v>
      </c>
      <c r="AU6" s="151">
        <f t="shared" si="2"/>
        <v>0</v>
      </c>
      <c r="AV6" s="151">
        <f t="shared" si="2"/>
        <v>0</v>
      </c>
      <c r="AW6" s="151">
        <f t="shared" si="2"/>
        <v>0</v>
      </c>
      <c r="AX6" s="151">
        <f t="shared" si="2"/>
        <v>0</v>
      </c>
      <c r="AY6" s="151">
        <f t="shared" si="2"/>
        <v>0</v>
      </c>
      <c r="AZ6" s="151">
        <f t="shared" si="2"/>
        <v>0</v>
      </c>
      <c r="BA6" s="151">
        <f t="shared" si="2"/>
        <v>0</v>
      </c>
      <c r="BB6" s="151">
        <f t="shared" si="2"/>
        <v>0</v>
      </c>
      <c r="BC6" s="151">
        <f t="shared" si="2"/>
        <v>0</v>
      </c>
      <c r="BD6" s="151">
        <f t="shared" si="2"/>
        <v>0</v>
      </c>
      <c r="BE6" s="151">
        <f t="shared" si="2"/>
        <v>0</v>
      </c>
      <c r="BF6" s="151">
        <f t="shared" si="2"/>
        <v>0</v>
      </c>
      <c r="BG6" s="151">
        <f t="shared" si="2"/>
        <v>0</v>
      </c>
      <c r="BH6" s="151">
        <f t="shared" si="2"/>
        <v>0</v>
      </c>
      <c r="BI6" s="151">
        <f t="shared" si="2"/>
        <v>0</v>
      </c>
      <c r="BJ6" s="151">
        <f t="shared" si="2"/>
        <v>0</v>
      </c>
      <c r="BK6" s="151">
        <f t="shared" si="2"/>
        <v>0</v>
      </c>
      <c r="BL6" s="151">
        <f t="shared" si="2"/>
        <v>0</v>
      </c>
      <c r="BM6" s="151">
        <f t="shared" si="2"/>
        <v>0</v>
      </c>
      <c r="BN6" s="151">
        <f t="shared" si="2"/>
        <v>0</v>
      </c>
      <c r="BO6" s="151">
        <f t="shared" si="2"/>
        <v>0</v>
      </c>
      <c r="BP6" s="151">
        <f t="shared" si="2"/>
        <v>0</v>
      </c>
      <c r="BQ6" s="151">
        <f t="shared" si="2"/>
        <v>0</v>
      </c>
      <c r="BR6" s="151">
        <f t="shared" si="2"/>
        <v>0</v>
      </c>
      <c r="BS6" s="151">
        <f t="shared" si="2"/>
        <v>0</v>
      </c>
      <c r="BT6" s="151">
        <f t="shared" si="2"/>
        <v>0</v>
      </c>
      <c r="BU6" s="151">
        <f t="shared" si="2"/>
        <v>0</v>
      </c>
      <c r="BV6" s="151">
        <f t="shared" si="2"/>
        <v>0</v>
      </c>
      <c r="BW6" s="151">
        <f t="shared" si="2"/>
        <v>0</v>
      </c>
      <c r="BX6" s="151">
        <f aca="true" t="shared" si="3" ref="BX6:DF6">IF(BX2&lt;=$B$6,$F$6,0)</f>
        <v>0</v>
      </c>
      <c r="BY6" s="151">
        <f t="shared" si="3"/>
        <v>0</v>
      </c>
      <c r="BZ6" s="151">
        <f t="shared" si="3"/>
        <v>0</v>
      </c>
      <c r="CA6" s="151">
        <f t="shared" si="3"/>
        <v>0</v>
      </c>
      <c r="CB6" s="151">
        <f t="shared" si="3"/>
        <v>0</v>
      </c>
      <c r="CC6" s="151">
        <f t="shared" si="3"/>
        <v>0</v>
      </c>
      <c r="CD6" s="151">
        <f t="shared" si="3"/>
        <v>0</v>
      </c>
      <c r="CE6" s="151">
        <f t="shared" si="3"/>
        <v>0</v>
      </c>
      <c r="CF6" s="151">
        <f t="shared" si="3"/>
        <v>0</v>
      </c>
      <c r="CG6" s="151">
        <f t="shared" si="3"/>
        <v>0</v>
      </c>
      <c r="CH6" s="151">
        <f t="shared" si="3"/>
        <v>0</v>
      </c>
      <c r="CI6" s="151">
        <f t="shared" si="3"/>
        <v>0</v>
      </c>
      <c r="CJ6" s="151">
        <f t="shared" si="3"/>
        <v>0</v>
      </c>
      <c r="CK6" s="151">
        <f t="shared" si="3"/>
        <v>0</v>
      </c>
      <c r="CL6" s="151">
        <f t="shared" si="3"/>
        <v>0</v>
      </c>
      <c r="CM6" s="151">
        <f t="shared" si="3"/>
        <v>0</v>
      </c>
      <c r="CN6" s="151">
        <f t="shared" si="3"/>
        <v>0</v>
      </c>
      <c r="CO6" s="151">
        <f t="shared" si="3"/>
        <v>0</v>
      </c>
      <c r="CP6" s="151">
        <f t="shared" si="3"/>
        <v>0</v>
      </c>
      <c r="CQ6" s="151">
        <f t="shared" si="3"/>
        <v>0</v>
      </c>
      <c r="CR6" s="151">
        <f t="shared" si="3"/>
        <v>0</v>
      </c>
      <c r="CS6" s="151">
        <f t="shared" si="3"/>
        <v>0</v>
      </c>
      <c r="CT6" s="151">
        <f t="shared" si="3"/>
        <v>0</v>
      </c>
      <c r="CU6" s="151">
        <f t="shared" si="3"/>
        <v>0</v>
      </c>
      <c r="CV6" s="151">
        <f t="shared" si="3"/>
        <v>0</v>
      </c>
      <c r="CW6" s="151">
        <f t="shared" si="3"/>
        <v>0</v>
      </c>
      <c r="CX6" s="151">
        <f t="shared" si="3"/>
        <v>0</v>
      </c>
      <c r="CY6" s="151">
        <f t="shared" si="3"/>
        <v>0</v>
      </c>
      <c r="CZ6" s="151">
        <f t="shared" si="3"/>
        <v>0</v>
      </c>
      <c r="DA6" s="151">
        <f t="shared" si="3"/>
        <v>0</v>
      </c>
      <c r="DB6" s="151">
        <f t="shared" si="3"/>
        <v>0</v>
      </c>
      <c r="DC6" s="151">
        <f t="shared" si="3"/>
        <v>0</v>
      </c>
      <c r="DD6" s="151">
        <f t="shared" si="3"/>
        <v>0</v>
      </c>
      <c r="DE6" s="151">
        <f t="shared" si="3"/>
        <v>0</v>
      </c>
      <c r="DF6" s="151">
        <f t="shared" si="3"/>
        <v>0</v>
      </c>
    </row>
    <row r="7" spans="1:110" ht="18" customHeight="1">
      <c r="A7" s="97" t="s">
        <v>338</v>
      </c>
      <c r="B7" s="97">
        <v>1</v>
      </c>
      <c r="C7" s="97" t="s">
        <v>93</v>
      </c>
      <c r="D7" s="97">
        <f>IF('Farm and Buffer Assumptions'!D44=1,'Farm and Buffer Assumptions'!D37,0)</f>
        <v>0</v>
      </c>
      <c r="E7" s="139">
        <v>1</v>
      </c>
      <c r="F7" s="151">
        <f>E7*D7</f>
        <v>0</v>
      </c>
      <c r="G7" s="467">
        <f>F7</f>
        <v>0</v>
      </c>
      <c r="H7" s="96"/>
      <c r="J7" s="97" t="s">
        <v>339</v>
      </c>
      <c r="K7" s="151">
        <f>F7</f>
        <v>0</v>
      </c>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row>
    <row r="8" spans="1:110" ht="18" customHeight="1">
      <c r="A8" s="154" t="s">
        <v>340</v>
      </c>
      <c r="B8" s="154"/>
      <c r="C8" s="100"/>
      <c r="D8" s="100"/>
      <c r="E8" s="100"/>
      <c r="F8" s="155">
        <f>SUM(F4:F7)</f>
        <v>630</v>
      </c>
      <c r="G8" s="468">
        <f>SUM(G4:G7)</f>
        <v>4165.366925254344</v>
      </c>
      <c r="H8" s="195"/>
      <c r="J8" s="97" t="s">
        <v>341</v>
      </c>
      <c r="K8" s="151">
        <f>G12</f>
        <v>50</v>
      </c>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row>
    <row r="9" spans="6:110" ht="18" customHeight="1">
      <c r="F9" s="9"/>
      <c r="G9" s="158"/>
      <c r="H9" s="96"/>
      <c r="J9" s="97" t="s">
        <v>342</v>
      </c>
      <c r="K9" s="151">
        <f>$F$16</f>
        <v>350</v>
      </c>
      <c r="L9" s="151">
        <f>$F$16</f>
        <v>350</v>
      </c>
      <c r="M9" s="151">
        <f aca="true" t="shared" si="4" ref="M9:BX9">$F$16</f>
        <v>350</v>
      </c>
      <c r="N9" s="151">
        <f t="shared" si="4"/>
        <v>350</v>
      </c>
      <c r="O9" s="151">
        <f t="shared" si="4"/>
        <v>350</v>
      </c>
      <c r="P9" s="151">
        <f t="shared" si="4"/>
        <v>350</v>
      </c>
      <c r="Q9" s="151">
        <f t="shared" si="4"/>
        <v>350</v>
      </c>
      <c r="R9" s="151">
        <f t="shared" si="4"/>
        <v>350</v>
      </c>
      <c r="S9" s="151">
        <f t="shared" si="4"/>
        <v>350</v>
      </c>
      <c r="T9" s="151">
        <f t="shared" si="4"/>
        <v>350</v>
      </c>
      <c r="U9" s="151">
        <f t="shared" si="4"/>
        <v>350</v>
      </c>
      <c r="V9" s="151">
        <f t="shared" si="4"/>
        <v>350</v>
      </c>
      <c r="W9" s="151">
        <f t="shared" si="4"/>
        <v>350</v>
      </c>
      <c r="X9" s="151">
        <f t="shared" si="4"/>
        <v>350</v>
      </c>
      <c r="Y9" s="151">
        <f t="shared" si="4"/>
        <v>350</v>
      </c>
      <c r="Z9" s="151">
        <f t="shared" si="4"/>
        <v>350</v>
      </c>
      <c r="AA9" s="151">
        <f t="shared" si="4"/>
        <v>350</v>
      </c>
      <c r="AB9" s="151">
        <f t="shared" si="4"/>
        <v>350</v>
      </c>
      <c r="AC9" s="151">
        <f t="shared" si="4"/>
        <v>350</v>
      </c>
      <c r="AD9" s="151">
        <f t="shared" si="4"/>
        <v>350</v>
      </c>
      <c r="AE9" s="151">
        <f t="shared" si="4"/>
        <v>350</v>
      </c>
      <c r="AF9" s="151">
        <f t="shared" si="4"/>
        <v>350</v>
      </c>
      <c r="AG9" s="151">
        <f t="shared" si="4"/>
        <v>350</v>
      </c>
      <c r="AH9" s="151">
        <f t="shared" si="4"/>
        <v>350</v>
      </c>
      <c r="AI9" s="151">
        <f t="shared" si="4"/>
        <v>350</v>
      </c>
      <c r="AJ9" s="151">
        <f t="shared" si="4"/>
        <v>350</v>
      </c>
      <c r="AK9" s="151">
        <f t="shared" si="4"/>
        <v>350</v>
      </c>
      <c r="AL9" s="151">
        <f t="shared" si="4"/>
        <v>350</v>
      </c>
      <c r="AM9" s="151">
        <f t="shared" si="4"/>
        <v>350</v>
      </c>
      <c r="AN9" s="151">
        <f t="shared" si="4"/>
        <v>350</v>
      </c>
      <c r="AO9" s="151">
        <f t="shared" si="4"/>
        <v>350</v>
      </c>
      <c r="AP9" s="151">
        <f t="shared" si="4"/>
        <v>350</v>
      </c>
      <c r="AQ9" s="151">
        <f t="shared" si="4"/>
        <v>350</v>
      </c>
      <c r="AR9" s="151">
        <f t="shared" si="4"/>
        <v>350</v>
      </c>
      <c r="AS9" s="151">
        <f t="shared" si="4"/>
        <v>350</v>
      </c>
      <c r="AT9" s="151">
        <f t="shared" si="4"/>
        <v>350</v>
      </c>
      <c r="AU9" s="151">
        <f t="shared" si="4"/>
        <v>350</v>
      </c>
      <c r="AV9" s="151">
        <f t="shared" si="4"/>
        <v>350</v>
      </c>
      <c r="AW9" s="151">
        <f t="shared" si="4"/>
        <v>350</v>
      </c>
      <c r="AX9" s="151">
        <f t="shared" si="4"/>
        <v>350</v>
      </c>
      <c r="AY9" s="151">
        <f t="shared" si="4"/>
        <v>350</v>
      </c>
      <c r="AZ9" s="151">
        <f t="shared" si="4"/>
        <v>350</v>
      </c>
      <c r="BA9" s="151">
        <f t="shared" si="4"/>
        <v>350</v>
      </c>
      <c r="BB9" s="151">
        <f t="shared" si="4"/>
        <v>350</v>
      </c>
      <c r="BC9" s="151">
        <f t="shared" si="4"/>
        <v>350</v>
      </c>
      <c r="BD9" s="151">
        <f t="shared" si="4"/>
        <v>350</v>
      </c>
      <c r="BE9" s="151">
        <f t="shared" si="4"/>
        <v>350</v>
      </c>
      <c r="BF9" s="151">
        <f t="shared" si="4"/>
        <v>350</v>
      </c>
      <c r="BG9" s="151">
        <f t="shared" si="4"/>
        <v>350</v>
      </c>
      <c r="BH9" s="151">
        <f t="shared" si="4"/>
        <v>350</v>
      </c>
      <c r="BI9" s="151">
        <f t="shared" si="4"/>
        <v>350</v>
      </c>
      <c r="BJ9" s="151">
        <f t="shared" si="4"/>
        <v>350</v>
      </c>
      <c r="BK9" s="151">
        <f t="shared" si="4"/>
        <v>350</v>
      </c>
      <c r="BL9" s="151">
        <f t="shared" si="4"/>
        <v>350</v>
      </c>
      <c r="BM9" s="151">
        <f t="shared" si="4"/>
        <v>350</v>
      </c>
      <c r="BN9" s="151">
        <f t="shared" si="4"/>
        <v>350</v>
      </c>
      <c r="BO9" s="151">
        <f t="shared" si="4"/>
        <v>350</v>
      </c>
      <c r="BP9" s="151">
        <f t="shared" si="4"/>
        <v>350</v>
      </c>
      <c r="BQ9" s="151">
        <f t="shared" si="4"/>
        <v>350</v>
      </c>
      <c r="BR9" s="151">
        <f t="shared" si="4"/>
        <v>350</v>
      </c>
      <c r="BS9" s="151">
        <f t="shared" si="4"/>
        <v>350</v>
      </c>
      <c r="BT9" s="151">
        <f t="shared" si="4"/>
        <v>350</v>
      </c>
      <c r="BU9" s="151">
        <f t="shared" si="4"/>
        <v>350</v>
      </c>
      <c r="BV9" s="151">
        <f t="shared" si="4"/>
        <v>350</v>
      </c>
      <c r="BW9" s="151">
        <f t="shared" si="4"/>
        <v>350</v>
      </c>
      <c r="BX9" s="151">
        <f t="shared" si="4"/>
        <v>350</v>
      </c>
      <c r="BY9" s="151">
        <f aca="true" t="shared" si="5" ref="BY9:DF9">$F$16</f>
        <v>350</v>
      </c>
      <c r="BZ9" s="151">
        <f t="shared" si="5"/>
        <v>350</v>
      </c>
      <c r="CA9" s="151">
        <f t="shared" si="5"/>
        <v>350</v>
      </c>
      <c r="CB9" s="151">
        <f t="shared" si="5"/>
        <v>350</v>
      </c>
      <c r="CC9" s="151">
        <f t="shared" si="5"/>
        <v>350</v>
      </c>
      <c r="CD9" s="151">
        <f t="shared" si="5"/>
        <v>350</v>
      </c>
      <c r="CE9" s="151">
        <f t="shared" si="5"/>
        <v>350</v>
      </c>
      <c r="CF9" s="151">
        <f t="shared" si="5"/>
        <v>350</v>
      </c>
      <c r="CG9" s="151">
        <f t="shared" si="5"/>
        <v>350</v>
      </c>
      <c r="CH9" s="151">
        <f t="shared" si="5"/>
        <v>350</v>
      </c>
      <c r="CI9" s="151">
        <f t="shared" si="5"/>
        <v>350</v>
      </c>
      <c r="CJ9" s="151">
        <f t="shared" si="5"/>
        <v>350</v>
      </c>
      <c r="CK9" s="151">
        <f t="shared" si="5"/>
        <v>350</v>
      </c>
      <c r="CL9" s="151">
        <f t="shared" si="5"/>
        <v>350</v>
      </c>
      <c r="CM9" s="151">
        <f t="shared" si="5"/>
        <v>350</v>
      </c>
      <c r="CN9" s="151">
        <f t="shared" si="5"/>
        <v>350</v>
      </c>
      <c r="CO9" s="151">
        <f t="shared" si="5"/>
        <v>350</v>
      </c>
      <c r="CP9" s="151">
        <f t="shared" si="5"/>
        <v>350</v>
      </c>
      <c r="CQ9" s="151">
        <f t="shared" si="5"/>
        <v>350</v>
      </c>
      <c r="CR9" s="151">
        <f t="shared" si="5"/>
        <v>350</v>
      </c>
      <c r="CS9" s="151">
        <f t="shared" si="5"/>
        <v>350</v>
      </c>
      <c r="CT9" s="151">
        <f t="shared" si="5"/>
        <v>350</v>
      </c>
      <c r="CU9" s="151">
        <f t="shared" si="5"/>
        <v>350</v>
      </c>
      <c r="CV9" s="151">
        <f t="shared" si="5"/>
        <v>350</v>
      </c>
      <c r="CW9" s="151">
        <f t="shared" si="5"/>
        <v>350</v>
      </c>
      <c r="CX9" s="151">
        <f t="shared" si="5"/>
        <v>350</v>
      </c>
      <c r="CY9" s="151">
        <f t="shared" si="5"/>
        <v>350</v>
      </c>
      <c r="CZ9" s="151">
        <f t="shared" si="5"/>
        <v>350</v>
      </c>
      <c r="DA9" s="151">
        <f t="shared" si="5"/>
        <v>350</v>
      </c>
      <c r="DB9" s="151">
        <f t="shared" si="5"/>
        <v>350</v>
      </c>
      <c r="DC9" s="151">
        <f t="shared" si="5"/>
        <v>350</v>
      </c>
      <c r="DD9" s="151">
        <f t="shared" si="5"/>
        <v>350</v>
      </c>
      <c r="DE9" s="151">
        <f t="shared" si="5"/>
        <v>350</v>
      </c>
      <c r="DF9" s="151">
        <f t="shared" si="5"/>
        <v>350</v>
      </c>
    </row>
    <row r="10" spans="1:110" ht="21" customHeight="1">
      <c r="A10" s="401" t="s">
        <v>343</v>
      </c>
      <c r="B10" s="401"/>
      <c r="C10" s="231"/>
      <c r="D10" s="231"/>
      <c r="E10" s="231"/>
      <c r="F10" s="378"/>
      <c r="G10" s="469"/>
      <c r="H10" s="383"/>
      <c r="J10" s="159" t="s">
        <v>344</v>
      </c>
      <c r="K10" s="135">
        <f aca="true" t="shared" si="6" ref="K10:BV10">SUM(K4:K7)-SUM(K8:K9)</f>
        <v>230</v>
      </c>
      <c r="L10" s="135">
        <f t="shared" si="6"/>
        <v>230</v>
      </c>
      <c r="M10" s="135">
        <f t="shared" si="6"/>
        <v>230</v>
      </c>
      <c r="N10" s="135">
        <f t="shared" si="6"/>
        <v>230</v>
      </c>
      <c r="O10" s="135">
        <f t="shared" si="6"/>
        <v>230</v>
      </c>
      <c r="P10" s="135">
        <f t="shared" si="6"/>
        <v>-120</v>
      </c>
      <c r="Q10" s="135">
        <f t="shared" si="6"/>
        <v>-120</v>
      </c>
      <c r="R10" s="135">
        <f t="shared" si="6"/>
        <v>-120</v>
      </c>
      <c r="S10" s="135">
        <f t="shared" si="6"/>
        <v>-120</v>
      </c>
      <c r="T10" s="135">
        <f t="shared" si="6"/>
        <v>-120</v>
      </c>
      <c r="U10" s="135">
        <f t="shared" si="6"/>
        <v>-120</v>
      </c>
      <c r="V10" s="135">
        <f t="shared" si="6"/>
        <v>-120</v>
      </c>
      <c r="W10" s="135">
        <f t="shared" si="6"/>
        <v>-120</v>
      </c>
      <c r="X10" s="135">
        <f t="shared" si="6"/>
        <v>-120</v>
      </c>
      <c r="Y10" s="135">
        <f t="shared" si="6"/>
        <v>-120</v>
      </c>
      <c r="Z10" s="135">
        <f t="shared" si="6"/>
        <v>-350</v>
      </c>
      <c r="AA10" s="135">
        <f t="shared" si="6"/>
        <v>-350</v>
      </c>
      <c r="AB10" s="135">
        <f t="shared" si="6"/>
        <v>-350</v>
      </c>
      <c r="AC10" s="135">
        <f t="shared" si="6"/>
        <v>-350</v>
      </c>
      <c r="AD10" s="135">
        <f t="shared" si="6"/>
        <v>-350</v>
      </c>
      <c r="AE10" s="135">
        <f t="shared" si="6"/>
        <v>-350</v>
      </c>
      <c r="AF10" s="135">
        <f t="shared" si="6"/>
        <v>-350</v>
      </c>
      <c r="AG10" s="135">
        <f t="shared" si="6"/>
        <v>-350</v>
      </c>
      <c r="AH10" s="135">
        <f t="shared" si="6"/>
        <v>-350</v>
      </c>
      <c r="AI10" s="135">
        <f t="shared" si="6"/>
        <v>-350</v>
      </c>
      <c r="AJ10" s="135">
        <f t="shared" si="6"/>
        <v>-350</v>
      </c>
      <c r="AK10" s="135">
        <f t="shared" si="6"/>
        <v>-350</v>
      </c>
      <c r="AL10" s="135">
        <f t="shared" si="6"/>
        <v>-350</v>
      </c>
      <c r="AM10" s="135">
        <f t="shared" si="6"/>
        <v>-350</v>
      </c>
      <c r="AN10" s="135">
        <f t="shared" si="6"/>
        <v>-350</v>
      </c>
      <c r="AO10" s="135">
        <f t="shared" si="6"/>
        <v>-350</v>
      </c>
      <c r="AP10" s="135">
        <f t="shared" si="6"/>
        <v>-350</v>
      </c>
      <c r="AQ10" s="135">
        <f t="shared" si="6"/>
        <v>-350</v>
      </c>
      <c r="AR10" s="135">
        <f t="shared" si="6"/>
        <v>-350</v>
      </c>
      <c r="AS10" s="135">
        <f t="shared" si="6"/>
        <v>-350</v>
      </c>
      <c r="AT10" s="135">
        <f t="shared" si="6"/>
        <v>-350</v>
      </c>
      <c r="AU10" s="135">
        <f t="shared" si="6"/>
        <v>-350</v>
      </c>
      <c r="AV10" s="135">
        <f t="shared" si="6"/>
        <v>-350</v>
      </c>
      <c r="AW10" s="135">
        <f t="shared" si="6"/>
        <v>-350</v>
      </c>
      <c r="AX10" s="135">
        <f t="shared" si="6"/>
        <v>-350</v>
      </c>
      <c r="AY10" s="135">
        <f t="shared" si="6"/>
        <v>-350</v>
      </c>
      <c r="AZ10" s="135">
        <f t="shared" si="6"/>
        <v>-350</v>
      </c>
      <c r="BA10" s="135">
        <f t="shared" si="6"/>
        <v>-350</v>
      </c>
      <c r="BB10" s="135">
        <f t="shared" si="6"/>
        <v>-350</v>
      </c>
      <c r="BC10" s="135">
        <f t="shared" si="6"/>
        <v>-350</v>
      </c>
      <c r="BD10" s="135">
        <f t="shared" si="6"/>
        <v>-350</v>
      </c>
      <c r="BE10" s="135">
        <f t="shared" si="6"/>
        <v>-350</v>
      </c>
      <c r="BF10" s="135">
        <f t="shared" si="6"/>
        <v>-350</v>
      </c>
      <c r="BG10" s="135">
        <f t="shared" si="6"/>
        <v>-350</v>
      </c>
      <c r="BH10" s="135">
        <f t="shared" si="6"/>
        <v>-350</v>
      </c>
      <c r="BI10" s="135">
        <f t="shared" si="6"/>
        <v>-350</v>
      </c>
      <c r="BJ10" s="135">
        <f t="shared" si="6"/>
        <v>-350</v>
      </c>
      <c r="BK10" s="135">
        <f t="shared" si="6"/>
        <v>-350</v>
      </c>
      <c r="BL10" s="135">
        <f t="shared" si="6"/>
        <v>-350</v>
      </c>
      <c r="BM10" s="135">
        <f t="shared" si="6"/>
        <v>-350</v>
      </c>
      <c r="BN10" s="135">
        <f t="shared" si="6"/>
        <v>-350</v>
      </c>
      <c r="BO10" s="135">
        <f t="shared" si="6"/>
        <v>-350</v>
      </c>
      <c r="BP10" s="135">
        <f t="shared" si="6"/>
        <v>-350</v>
      </c>
      <c r="BQ10" s="135">
        <f t="shared" si="6"/>
        <v>-350</v>
      </c>
      <c r="BR10" s="135">
        <f t="shared" si="6"/>
        <v>-350</v>
      </c>
      <c r="BS10" s="135">
        <f t="shared" si="6"/>
        <v>-350</v>
      </c>
      <c r="BT10" s="135">
        <f t="shared" si="6"/>
        <v>-350</v>
      </c>
      <c r="BU10" s="135">
        <f t="shared" si="6"/>
        <v>-350</v>
      </c>
      <c r="BV10" s="135">
        <f t="shared" si="6"/>
        <v>-350</v>
      </c>
      <c r="BW10" s="135">
        <f aca="true" t="shared" si="7" ref="BW10:DB10">SUM(BW4:BW7)-SUM(BW8:BW9)</f>
        <v>-350</v>
      </c>
      <c r="BX10" s="135">
        <f t="shared" si="7"/>
        <v>-350</v>
      </c>
      <c r="BY10" s="135">
        <f t="shared" si="7"/>
        <v>-350</v>
      </c>
      <c r="BZ10" s="135">
        <f t="shared" si="7"/>
        <v>-350</v>
      </c>
      <c r="CA10" s="135">
        <f t="shared" si="7"/>
        <v>-350</v>
      </c>
      <c r="CB10" s="135">
        <f t="shared" si="7"/>
        <v>-350</v>
      </c>
      <c r="CC10" s="135">
        <f t="shared" si="7"/>
        <v>-350</v>
      </c>
      <c r="CD10" s="135">
        <f t="shared" si="7"/>
        <v>-350</v>
      </c>
      <c r="CE10" s="135">
        <f t="shared" si="7"/>
        <v>-350</v>
      </c>
      <c r="CF10" s="135">
        <f t="shared" si="7"/>
        <v>-350</v>
      </c>
      <c r="CG10" s="135">
        <f t="shared" si="7"/>
        <v>-350</v>
      </c>
      <c r="CH10" s="135">
        <f t="shared" si="7"/>
        <v>-350</v>
      </c>
      <c r="CI10" s="135">
        <f t="shared" si="7"/>
        <v>-350</v>
      </c>
      <c r="CJ10" s="135">
        <f t="shared" si="7"/>
        <v>-350</v>
      </c>
      <c r="CK10" s="135">
        <f t="shared" si="7"/>
        <v>-350</v>
      </c>
      <c r="CL10" s="135">
        <f t="shared" si="7"/>
        <v>-350</v>
      </c>
      <c r="CM10" s="135">
        <f t="shared" si="7"/>
        <v>-350</v>
      </c>
      <c r="CN10" s="135">
        <f t="shared" si="7"/>
        <v>-350</v>
      </c>
      <c r="CO10" s="135">
        <f t="shared" si="7"/>
        <v>-350</v>
      </c>
      <c r="CP10" s="135">
        <f t="shared" si="7"/>
        <v>-350</v>
      </c>
      <c r="CQ10" s="135">
        <f t="shared" si="7"/>
        <v>-350</v>
      </c>
      <c r="CR10" s="135">
        <f t="shared" si="7"/>
        <v>-350</v>
      </c>
      <c r="CS10" s="135">
        <f t="shared" si="7"/>
        <v>-350</v>
      </c>
      <c r="CT10" s="135">
        <f t="shared" si="7"/>
        <v>-350</v>
      </c>
      <c r="CU10" s="135">
        <f t="shared" si="7"/>
        <v>-350</v>
      </c>
      <c r="CV10" s="135">
        <f t="shared" si="7"/>
        <v>-350</v>
      </c>
      <c r="CW10" s="135">
        <f t="shared" si="7"/>
        <v>-350</v>
      </c>
      <c r="CX10" s="135">
        <f t="shared" si="7"/>
        <v>-350</v>
      </c>
      <c r="CY10" s="135">
        <f t="shared" si="7"/>
        <v>-350</v>
      </c>
      <c r="CZ10" s="135">
        <f t="shared" si="7"/>
        <v>-350</v>
      </c>
      <c r="DA10" s="135">
        <f t="shared" si="7"/>
        <v>-350</v>
      </c>
      <c r="DB10" s="135">
        <f t="shared" si="7"/>
        <v>-350</v>
      </c>
      <c r="DC10" s="135">
        <f>SUM(DC4:DC7)-SUM(DC8:DC9)</f>
        <v>-350</v>
      </c>
      <c r="DD10" s="135">
        <f>SUM(DD4:DD7)-SUM(DD8:DD9)</f>
        <v>-350</v>
      </c>
      <c r="DE10" s="135">
        <f>SUM(DE4:DE7)-SUM(DE8:DE9)</f>
        <v>-350</v>
      </c>
      <c r="DF10" s="135">
        <f>SUM(DF4:DF7)-SUM(DF8:DF9)</f>
        <v>-350</v>
      </c>
    </row>
    <row r="11" spans="1:11" ht="18" customHeight="1">
      <c r="A11" s="97" t="s">
        <v>345</v>
      </c>
      <c r="B11" s="97">
        <v>1</v>
      </c>
      <c r="C11" s="97" t="s">
        <v>93</v>
      </c>
      <c r="D11" s="607">
        <v>50</v>
      </c>
      <c r="E11" s="139">
        <v>1</v>
      </c>
      <c r="F11" s="151">
        <f>E11*D11</f>
        <v>50</v>
      </c>
      <c r="G11" s="470">
        <f>F11</f>
        <v>50</v>
      </c>
      <c r="H11" s="96"/>
      <c r="K11" s="162"/>
    </row>
    <row r="12" spans="1:16" ht="18" customHeight="1">
      <c r="A12" s="163" t="s">
        <v>346</v>
      </c>
      <c r="B12" s="164"/>
      <c r="C12" s="165"/>
      <c r="D12" s="166"/>
      <c r="E12" s="165"/>
      <c r="F12" s="166">
        <f>SUM(F11:F11)</f>
        <v>50</v>
      </c>
      <c r="G12" s="167">
        <f>SUM(G11:G11)</f>
        <v>50</v>
      </c>
      <c r="H12" s="195"/>
      <c r="K12" s="162"/>
      <c r="M12" s="168" t="s">
        <v>347</v>
      </c>
      <c r="N12" s="169"/>
      <c r="O12" s="169"/>
      <c r="P12" s="169"/>
    </row>
    <row r="13" spans="1:14" ht="18" customHeight="1">
      <c r="A13" s="170"/>
      <c r="B13" s="171"/>
      <c r="C13" s="172"/>
      <c r="D13" s="172"/>
      <c r="E13" s="172"/>
      <c r="F13" s="173"/>
      <c r="G13" s="174"/>
      <c r="H13" s="96"/>
      <c r="J13" s="20" t="s">
        <v>466</v>
      </c>
      <c r="K13" s="175">
        <f>NPV('Farm and Buffer Assumptions'!D20,K10:AD10)</f>
        <v>-641.2472954843502</v>
      </c>
      <c r="M13" s="176">
        <f>K4</f>
        <v>50</v>
      </c>
      <c r="N13" s="177" t="s">
        <v>332</v>
      </c>
    </row>
    <row r="14" spans="1:14" ht="21" customHeight="1">
      <c r="A14" s="401" t="s">
        <v>348</v>
      </c>
      <c r="B14" s="401"/>
      <c r="C14" s="231"/>
      <c r="D14" s="231"/>
      <c r="E14" s="231"/>
      <c r="F14" s="378"/>
      <c r="G14" s="469"/>
      <c r="H14" s="383"/>
      <c r="J14" s="20" t="s">
        <v>467</v>
      </c>
      <c r="K14" s="175">
        <f>NPV('Farm and Buffer Assumptions'!D20,K10:AN10)</f>
        <v>-1936.8447299782265</v>
      </c>
      <c r="M14" s="178">
        <f>NPV('Farm and Buffer Assumptions'!D20,K5:N5)</f>
        <v>1270.4633284898987</v>
      </c>
      <c r="N14" s="18" t="s">
        <v>349</v>
      </c>
    </row>
    <row r="15" spans="1:14" ht="32.25" customHeight="1">
      <c r="A15" s="97" t="s">
        <v>350</v>
      </c>
      <c r="B15" s="97" t="s">
        <v>351</v>
      </c>
      <c r="C15" s="97" t="s">
        <v>93</v>
      </c>
      <c r="D15" s="160">
        <f>'Buffer input prices'!D37</f>
        <v>350</v>
      </c>
      <c r="E15" s="139">
        <v>1</v>
      </c>
      <c r="F15" s="151">
        <f>E15*D15</f>
        <v>350</v>
      </c>
      <c r="G15" s="467">
        <f>F15/'Farm and Buffer Assumptions'!$D$20</f>
        <v>8750</v>
      </c>
      <c r="H15" s="96" t="s">
        <v>352</v>
      </c>
      <c r="J15" s="20" t="s">
        <v>468</v>
      </c>
      <c r="K15" s="175">
        <f>NPV('Farm and Buffer Assumptions'!D20,K10:AX10)</f>
        <v>-2812.1039339449194</v>
      </c>
      <c r="M15" s="179">
        <f>NPV('Farm and Buffer Assumptions'!D20,K6:Y6)</f>
        <v>2557.2291093986673</v>
      </c>
      <c r="N15" s="177" t="s">
        <v>336</v>
      </c>
    </row>
    <row r="16" spans="1:14" ht="18" customHeight="1">
      <c r="A16" s="180" t="s">
        <v>353</v>
      </c>
      <c r="B16" s="172"/>
      <c r="C16" s="172"/>
      <c r="D16" s="172"/>
      <c r="E16" s="172"/>
      <c r="F16" s="166">
        <f>SUM(F15:F15)</f>
        <v>350</v>
      </c>
      <c r="G16" s="167">
        <f>SUM(G15:G15)</f>
        <v>8750</v>
      </c>
      <c r="H16" s="96"/>
      <c r="J16" s="20" t="s">
        <v>469</v>
      </c>
      <c r="K16" s="175">
        <f>NPV('Farm and Buffer Assumptions'!D20,K10:BH10)</f>
        <v>-3403.3976905798086</v>
      </c>
      <c r="M16" s="178">
        <f>K7</f>
        <v>0</v>
      </c>
      <c r="N16" s="177" t="s">
        <v>338</v>
      </c>
    </row>
    <row r="17" spans="1:14" ht="18" customHeight="1">
      <c r="A17" s="97"/>
      <c r="B17" s="97"/>
      <c r="C17" s="97"/>
      <c r="D17" s="160"/>
      <c r="E17" s="139"/>
      <c r="F17" s="139"/>
      <c r="G17" s="470"/>
      <c r="H17" s="96"/>
      <c r="J17" s="20" t="s">
        <v>470</v>
      </c>
      <c r="K17" s="175">
        <f>NPV('Farm and Buffer Assumptions'!D20,K10:BR10)</f>
        <v>-3802.8545658127423</v>
      </c>
      <c r="M17" s="181">
        <f>K8</f>
        <v>50</v>
      </c>
      <c r="N17" s="182" t="s">
        <v>354</v>
      </c>
    </row>
    <row r="18" spans="1:14" ht="18" customHeight="1">
      <c r="A18" s="154" t="s">
        <v>355</v>
      </c>
      <c r="B18" s="154"/>
      <c r="C18" s="154"/>
      <c r="D18" s="183"/>
      <c r="E18" s="184"/>
      <c r="F18" s="184"/>
      <c r="G18" s="471">
        <f>G12+G16</f>
        <v>8800</v>
      </c>
      <c r="H18" s="194"/>
      <c r="J18" s="20" t="s">
        <v>471</v>
      </c>
      <c r="K18" s="175">
        <f>NPV('Farm and Buffer Assumptions'!D20,K10:CB10)</f>
        <v>-4072.713317711229</v>
      </c>
      <c r="M18" s="178">
        <f>NPV('Farm and Buffer Assumptions'!D20,K9:DF9)</f>
        <v>8576.749649003184</v>
      </c>
      <c r="N18" t="s">
        <v>356</v>
      </c>
    </row>
    <row r="19" spans="1:13" ht="18" customHeight="1">
      <c r="A19" s="97"/>
      <c r="B19" s="97"/>
      <c r="C19" s="97"/>
      <c r="D19" s="97"/>
      <c r="E19" s="97"/>
      <c r="F19" s="151"/>
      <c r="G19" s="467"/>
      <c r="H19" s="96"/>
      <c r="J19" s="20" t="s">
        <v>472</v>
      </c>
      <c r="K19" s="175">
        <f>NPV('Farm and Buffer Assumptions'!D20,K10:CL10)</f>
        <v>-4255.020221137898</v>
      </c>
      <c r="M19" s="178"/>
    </row>
    <row r="20" spans="1:14" ht="18" customHeight="1">
      <c r="A20" s="100" t="s">
        <v>357</v>
      </c>
      <c r="B20" s="100"/>
      <c r="C20" s="100"/>
      <c r="D20" s="100"/>
      <c r="E20" s="100"/>
      <c r="F20" s="175"/>
      <c r="G20" s="472">
        <f>G8-G18</f>
        <v>-4634.633074745656</v>
      </c>
      <c r="H20" s="195"/>
      <c r="J20" s="20" t="s">
        <v>473</v>
      </c>
      <c r="K20" s="175">
        <f>NPV('Farm and Buffer Assumptions'!D20,K10:CV10)</f>
        <v>-4378.180232822541</v>
      </c>
      <c r="M20" s="186">
        <f>SUM(M13:M16)-SUM(M17:M19)</f>
        <v>-4749.057211114618</v>
      </c>
      <c r="N20" t="s">
        <v>358</v>
      </c>
    </row>
    <row r="21" spans="1:11" ht="37.5" customHeight="1">
      <c r="A21" s="931" t="s">
        <v>476</v>
      </c>
      <c r="B21" s="932"/>
      <c r="C21" s="932"/>
      <c r="D21" s="932"/>
      <c r="E21" s="932"/>
      <c r="F21" s="932"/>
      <c r="G21" s="932"/>
      <c r="H21" s="932"/>
      <c r="J21" s="20" t="s">
        <v>474</v>
      </c>
      <c r="K21" s="175">
        <f>NPV('Farm and Buffer Assumptions'!D20,K10:DF10)</f>
        <v>-4461.382723748853</v>
      </c>
    </row>
    <row r="22" spans="1:11" ht="27" customHeight="1">
      <c r="A22" s="934" t="s">
        <v>359</v>
      </c>
      <c r="B22" s="932"/>
      <c r="C22" s="932"/>
      <c r="D22" s="932"/>
      <c r="E22" s="932"/>
      <c r="F22" s="932"/>
      <c r="G22" s="932"/>
      <c r="H22" s="932"/>
      <c r="J22" t="s">
        <v>360</v>
      </c>
      <c r="K22" s="188">
        <f>K21-G20</f>
        <v>173.2503509968028</v>
      </c>
    </row>
    <row r="23" spans="1:8" ht="21" customHeight="1">
      <c r="A23" s="932" t="s">
        <v>361</v>
      </c>
      <c r="B23" s="932"/>
      <c r="C23" s="932"/>
      <c r="D23" s="932"/>
      <c r="E23" s="932"/>
      <c r="F23" s="932"/>
      <c r="G23" s="932"/>
      <c r="H23" s="932"/>
    </row>
    <row r="24" spans="1:8" ht="36.75" customHeight="1">
      <c r="A24" s="932" t="s">
        <v>477</v>
      </c>
      <c r="B24" s="932"/>
      <c r="C24" s="932"/>
      <c r="D24" s="932"/>
      <c r="E24" s="932"/>
      <c r="F24" s="932"/>
      <c r="G24" s="932"/>
      <c r="H24" s="932"/>
    </row>
    <row r="25" spans="1:11" ht="29.25" customHeight="1" thickBot="1">
      <c r="A25" s="1"/>
      <c r="B25" s="1"/>
      <c r="C25" s="1"/>
      <c r="D25" s="1"/>
      <c r="E25" s="1"/>
      <c r="H25" s="1"/>
      <c r="K25" t="s">
        <v>325</v>
      </c>
    </row>
    <row r="26" spans="1:110" ht="39" customHeight="1" thickBot="1">
      <c r="A26" s="393" t="s">
        <v>362</v>
      </c>
      <c r="B26" s="394" t="s">
        <v>327</v>
      </c>
      <c r="C26" s="380" t="s">
        <v>83</v>
      </c>
      <c r="D26" s="381" t="s">
        <v>84</v>
      </c>
      <c r="E26" s="381" t="s">
        <v>85</v>
      </c>
      <c r="F26" s="381" t="s">
        <v>86</v>
      </c>
      <c r="G26" s="381" t="s">
        <v>328</v>
      </c>
      <c r="H26" s="380" t="s">
        <v>329</v>
      </c>
      <c r="J26" s="150" t="s">
        <v>330</v>
      </c>
      <c r="K26" s="97">
        <v>1</v>
      </c>
      <c r="L26" s="97">
        <v>2</v>
      </c>
      <c r="M26" s="97">
        <v>3</v>
      </c>
      <c r="N26" s="97">
        <v>4</v>
      </c>
      <c r="O26" s="97">
        <v>5</v>
      </c>
      <c r="P26" s="97">
        <v>6</v>
      </c>
      <c r="Q26" s="97">
        <v>7</v>
      </c>
      <c r="R26" s="97">
        <v>8</v>
      </c>
      <c r="S26" s="97">
        <v>9</v>
      </c>
      <c r="T26" s="97">
        <v>10</v>
      </c>
      <c r="U26" s="97">
        <v>11</v>
      </c>
      <c r="V26" s="97">
        <v>12</v>
      </c>
      <c r="W26" s="97">
        <v>13</v>
      </c>
      <c r="X26" s="97">
        <v>14</v>
      </c>
      <c r="Y26" s="97">
        <v>15</v>
      </c>
      <c r="Z26" s="95">
        <v>16</v>
      </c>
      <c r="AA26" s="95">
        <v>17</v>
      </c>
      <c r="AB26" s="95">
        <v>18</v>
      </c>
      <c r="AC26" s="95">
        <v>19</v>
      </c>
      <c r="AD26" s="95">
        <v>20</v>
      </c>
      <c r="AE26" s="95">
        <v>21</v>
      </c>
      <c r="AF26" s="95">
        <v>22</v>
      </c>
      <c r="AG26" s="95">
        <v>23</v>
      </c>
      <c r="AH26" s="95">
        <v>24</v>
      </c>
      <c r="AI26" s="95">
        <v>25</v>
      </c>
      <c r="AJ26" s="95">
        <v>26</v>
      </c>
      <c r="AK26" s="95">
        <v>27</v>
      </c>
      <c r="AL26" s="95">
        <v>28</v>
      </c>
      <c r="AM26" s="95">
        <v>29</v>
      </c>
      <c r="AN26" s="95">
        <v>30</v>
      </c>
      <c r="AO26" s="95">
        <v>31</v>
      </c>
      <c r="AP26" s="95">
        <v>32</v>
      </c>
      <c r="AQ26" s="95">
        <v>33</v>
      </c>
      <c r="AR26" s="95">
        <v>34</v>
      </c>
      <c r="AS26" s="95">
        <v>35</v>
      </c>
      <c r="AT26" s="95">
        <v>36</v>
      </c>
      <c r="AU26" s="95">
        <v>37</v>
      </c>
      <c r="AV26" s="95">
        <v>38</v>
      </c>
      <c r="AW26" s="95">
        <v>39</v>
      </c>
      <c r="AX26" s="95">
        <v>40</v>
      </c>
      <c r="AY26" s="95">
        <v>41</v>
      </c>
      <c r="AZ26" s="95">
        <v>42</v>
      </c>
      <c r="BA26" s="95">
        <v>43</v>
      </c>
      <c r="BB26" s="95">
        <v>44</v>
      </c>
      <c r="BC26" s="95">
        <v>45</v>
      </c>
      <c r="BD26" s="95">
        <v>46</v>
      </c>
      <c r="BE26" s="95">
        <v>47</v>
      </c>
      <c r="BF26" s="95">
        <v>48</v>
      </c>
      <c r="BG26" s="95">
        <v>49</v>
      </c>
      <c r="BH26" s="95">
        <v>50</v>
      </c>
      <c r="BI26" s="95">
        <v>51</v>
      </c>
      <c r="BJ26" s="95">
        <v>52</v>
      </c>
      <c r="BK26" s="95">
        <v>53</v>
      </c>
      <c r="BL26" s="95">
        <v>54</v>
      </c>
      <c r="BM26" s="95">
        <v>55</v>
      </c>
      <c r="BN26" s="95">
        <v>56</v>
      </c>
      <c r="BO26" s="95">
        <v>57</v>
      </c>
      <c r="BP26" s="95">
        <v>58</v>
      </c>
      <c r="BQ26" s="95">
        <v>59</v>
      </c>
      <c r="BR26" s="95">
        <v>60</v>
      </c>
      <c r="BS26" s="95">
        <v>61</v>
      </c>
      <c r="BT26" s="95">
        <v>62</v>
      </c>
      <c r="BU26" s="95">
        <v>63</v>
      </c>
      <c r="BV26" s="95">
        <v>64</v>
      </c>
      <c r="BW26" s="95">
        <v>65</v>
      </c>
      <c r="BX26" s="95">
        <v>66</v>
      </c>
      <c r="BY26" s="95">
        <v>67</v>
      </c>
      <c r="BZ26" s="95">
        <v>68</v>
      </c>
      <c r="CA26" s="95">
        <v>69</v>
      </c>
      <c r="CB26" s="95">
        <v>70</v>
      </c>
      <c r="CC26" s="95">
        <v>71</v>
      </c>
      <c r="CD26" s="95">
        <v>72</v>
      </c>
      <c r="CE26" s="95">
        <v>73</v>
      </c>
      <c r="CF26" s="95">
        <v>74</v>
      </c>
      <c r="CG26" s="95">
        <v>75</v>
      </c>
      <c r="CH26" s="95">
        <v>76</v>
      </c>
      <c r="CI26" s="95">
        <v>77</v>
      </c>
      <c r="CJ26" s="95">
        <v>78</v>
      </c>
      <c r="CK26" s="95">
        <v>79</v>
      </c>
      <c r="CL26" s="95">
        <v>80</v>
      </c>
      <c r="CM26" s="95">
        <v>81</v>
      </c>
      <c r="CN26" s="95">
        <v>82</v>
      </c>
      <c r="CO26" s="95">
        <v>83</v>
      </c>
      <c r="CP26" s="95">
        <v>84</v>
      </c>
      <c r="CQ26" s="95">
        <v>85</v>
      </c>
      <c r="CR26" s="95">
        <v>86</v>
      </c>
      <c r="CS26" s="95">
        <v>87</v>
      </c>
      <c r="CT26" s="95">
        <v>88</v>
      </c>
      <c r="CU26" s="95">
        <v>89</v>
      </c>
      <c r="CV26" s="95">
        <v>90</v>
      </c>
      <c r="CW26" s="95">
        <v>91</v>
      </c>
      <c r="CX26" s="95">
        <v>92</v>
      </c>
      <c r="CY26" s="95">
        <v>93</v>
      </c>
      <c r="CZ26" s="95">
        <v>94</v>
      </c>
      <c r="DA26" s="95">
        <v>95</v>
      </c>
      <c r="DB26" s="95">
        <v>96</v>
      </c>
      <c r="DC26" s="95">
        <v>97</v>
      </c>
      <c r="DD26" s="95">
        <v>98</v>
      </c>
      <c r="DE26" s="95">
        <v>99</v>
      </c>
      <c r="DF26" s="95">
        <v>100</v>
      </c>
    </row>
    <row r="27" spans="1:110" ht="23.25" customHeight="1" thickBot="1">
      <c r="A27" s="397" t="s">
        <v>393</v>
      </c>
      <c r="B27" s="398"/>
      <c r="C27" s="386"/>
      <c r="D27" s="387"/>
      <c r="E27" s="399"/>
      <c r="F27" s="387"/>
      <c r="G27" s="399"/>
      <c r="H27" s="400"/>
      <c r="J27" s="97" t="s">
        <v>331</v>
      </c>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row>
    <row r="28" spans="1:110" ht="18" customHeight="1" thickBot="1">
      <c r="A28" s="96" t="s">
        <v>332</v>
      </c>
      <c r="B28" s="96">
        <v>1</v>
      </c>
      <c r="C28" s="96" t="s">
        <v>93</v>
      </c>
      <c r="D28" s="97">
        <f>IF('Farm and Buffer Assumptions'!D50=1,F37*'Farm and Buffer Assumptions'!D38)</f>
        <v>1510</v>
      </c>
      <c r="E28" s="121">
        <v>1</v>
      </c>
      <c r="F28" s="120">
        <f>E28*D28</f>
        <v>1510</v>
      </c>
      <c r="G28" s="189">
        <f>F28</f>
        <v>1510</v>
      </c>
      <c r="H28" s="153"/>
      <c r="J28" s="97" t="s">
        <v>333</v>
      </c>
      <c r="K28" s="151">
        <f>F28</f>
        <v>1510</v>
      </c>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row>
    <row r="29" spans="1:110" ht="18" customHeight="1" thickBot="1">
      <c r="A29" s="96" t="s">
        <v>334</v>
      </c>
      <c r="B29" s="97">
        <f>'Farm and Buffer Assumptions'!D41</f>
        <v>5</v>
      </c>
      <c r="C29" s="97" t="s">
        <v>93</v>
      </c>
      <c r="D29" s="97">
        <f>IF('Farm and Buffer Assumptions'!D51=1,F41*'Farm and Buffer Assumptions'!D39,0)</f>
        <v>100</v>
      </c>
      <c r="E29" s="139">
        <v>1</v>
      </c>
      <c r="F29" s="151">
        <f>E29*D29</f>
        <v>100</v>
      </c>
      <c r="G29" s="152">
        <f>-PV('Farm and Buffer Assumptions'!D20,B29,F29)</f>
        <v>445.1822331016211</v>
      </c>
      <c r="H29" s="153"/>
      <c r="J29" s="97" t="s">
        <v>335</v>
      </c>
      <c r="K29" s="97">
        <v>0</v>
      </c>
      <c r="L29" s="151">
        <f aca="true" t="shared" si="8" ref="L29:BW29">IF(L26=($B$29+1),$F$29,IF(L26&lt;=$B$29,$F$29,0))</f>
        <v>100</v>
      </c>
      <c r="M29" s="151">
        <f t="shared" si="8"/>
        <v>100</v>
      </c>
      <c r="N29" s="151">
        <f t="shared" si="8"/>
        <v>100</v>
      </c>
      <c r="O29" s="151">
        <f t="shared" si="8"/>
        <v>100</v>
      </c>
      <c r="P29" s="151">
        <f t="shared" si="8"/>
        <v>100</v>
      </c>
      <c r="Q29" s="151">
        <f t="shared" si="8"/>
        <v>0</v>
      </c>
      <c r="R29" s="151">
        <f t="shared" si="8"/>
        <v>0</v>
      </c>
      <c r="S29" s="151">
        <f t="shared" si="8"/>
        <v>0</v>
      </c>
      <c r="T29" s="151">
        <f t="shared" si="8"/>
        <v>0</v>
      </c>
      <c r="U29" s="151">
        <f t="shared" si="8"/>
        <v>0</v>
      </c>
      <c r="V29" s="151">
        <f t="shared" si="8"/>
        <v>0</v>
      </c>
      <c r="W29" s="151">
        <f t="shared" si="8"/>
        <v>0</v>
      </c>
      <c r="X29" s="151">
        <f t="shared" si="8"/>
        <v>0</v>
      </c>
      <c r="Y29" s="151">
        <f t="shared" si="8"/>
        <v>0</v>
      </c>
      <c r="Z29" s="151">
        <f t="shared" si="8"/>
        <v>0</v>
      </c>
      <c r="AA29" s="151">
        <f t="shared" si="8"/>
        <v>0</v>
      </c>
      <c r="AB29" s="151">
        <f t="shared" si="8"/>
        <v>0</v>
      </c>
      <c r="AC29" s="151">
        <f t="shared" si="8"/>
        <v>0</v>
      </c>
      <c r="AD29" s="151">
        <f t="shared" si="8"/>
        <v>0</v>
      </c>
      <c r="AE29" s="151">
        <f t="shared" si="8"/>
        <v>0</v>
      </c>
      <c r="AF29" s="151">
        <f t="shared" si="8"/>
        <v>0</v>
      </c>
      <c r="AG29" s="151">
        <f t="shared" si="8"/>
        <v>0</v>
      </c>
      <c r="AH29" s="151">
        <f t="shared" si="8"/>
        <v>0</v>
      </c>
      <c r="AI29" s="151">
        <f t="shared" si="8"/>
        <v>0</v>
      </c>
      <c r="AJ29" s="151">
        <f t="shared" si="8"/>
        <v>0</v>
      </c>
      <c r="AK29" s="151">
        <f t="shared" si="8"/>
        <v>0</v>
      </c>
      <c r="AL29" s="151">
        <f t="shared" si="8"/>
        <v>0</v>
      </c>
      <c r="AM29" s="151">
        <f t="shared" si="8"/>
        <v>0</v>
      </c>
      <c r="AN29" s="151">
        <f t="shared" si="8"/>
        <v>0</v>
      </c>
      <c r="AO29" s="151">
        <f t="shared" si="8"/>
        <v>0</v>
      </c>
      <c r="AP29" s="151">
        <f t="shared" si="8"/>
        <v>0</v>
      </c>
      <c r="AQ29" s="151">
        <f t="shared" si="8"/>
        <v>0</v>
      </c>
      <c r="AR29" s="151">
        <f t="shared" si="8"/>
        <v>0</v>
      </c>
      <c r="AS29" s="151">
        <f t="shared" si="8"/>
        <v>0</v>
      </c>
      <c r="AT29" s="151">
        <f t="shared" si="8"/>
        <v>0</v>
      </c>
      <c r="AU29" s="151">
        <f t="shared" si="8"/>
        <v>0</v>
      </c>
      <c r="AV29" s="151">
        <f t="shared" si="8"/>
        <v>0</v>
      </c>
      <c r="AW29" s="151">
        <f t="shared" si="8"/>
        <v>0</v>
      </c>
      <c r="AX29" s="151">
        <f t="shared" si="8"/>
        <v>0</v>
      </c>
      <c r="AY29" s="151">
        <f t="shared" si="8"/>
        <v>0</v>
      </c>
      <c r="AZ29" s="151">
        <f t="shared" si="8"/>
        <v>0</v>
      </c>
      <c r="BA29" s="151">
        <f t="shared" si="8"/>
        <v>0</v>
      </c>
      <c r="BB29" s="151">
        <f t="shared" si="8"/>
        <v>0</v>
      </c>
      <c r="BC29" s="151">
        <f t="shared" si="8"/>
        <v>0</v>
      </c>
      <c r="BD29" s="151">
        <f t="shared" si="8"/>
        <v>0</v>
      </c>
      <c r="BE29" s="151">
        <f t="shared" si="8"/>
        <v>0</v>
      </c>
      <c r="BF29" s="151">
        <f t="shared" si="8"/>
        <v>0</v>
      </c>
      <c r="BG29" s="151">
        <f t="shared" si="8"/>
        <v>0</v>
      </c>
      <c r="BH29" s="151">
        <f t="shared" si="8"/>
        <v>0</v>
      </c>
      <c r="BI29" s="151">
        <f t="shared" si="8"/>
        <v>0</v>
      </c>
      <c r="BJ29" s="151">
        <f t="shared" si="8"/>
        <v>0</v>
      </c>
      <c r="BK29" s="151">
        <f t="shared" si="8"/>
        <v>0</v>
      </c>
      <c r="BL29" s="151">
        <f t="shared" si="8"/>
        <v>0</v>
      </c>
      <c r="BM29" s="151">
        <f t="shared" si="8"/>
        <v>0</v>
      </c>
      <c r="BN29" s="151">
        <f t="shared" si="8"/>
        <v>0</v>
      </c>
      <c r="BO29" s="151">
        <f t="shared" si="8"/>
        <v>0</v>
      </c>
      <c r="BP29" s="151">
        <f t="shared" si="8"/>
        <v>0</v>
      </c>
      <c r="BQ29" s="151">
        <f t="shared" si="8"/>
        <v>0</v>
      </c>
      <c r="BR29" s="151">
        <f t="shared" si="8"/>
        <v>0</v>
      </c>
      <c r="BS29" s="151">
        <f t="shared" si="8"/>
        <v>0</v>
      </c>
      <c r="BT29" s="151">
        <f t="shared" si="8"/>
        <v>0</v>
      </c>
      <c r="BU29" s="151">
        <f t="shared" si="8"/>
        <v>0</v>
      </c>
      <c r="BV29" s="151">
        <f t="shared" si="8"/>
        <v>0</v>
      </c>
      <c r="BW29" s="151">
        <f t="shared" si="8"/>
        <v>0</v>
      </c>
      <c r="BX29" s="151">
        <f aca="true" t="shared" si="9" ref="BX29:DF29">IF(BX26=($B$29+1),$F$29,IF(BX26&lt;=$B$29,$F$29,0))</f>
        <v>0</v>
      </c>
      <c r="BY29" s="151">
        <f t="shared" si="9"/>
        <v>0</v>
      </c>
      <c r="BZ29" s="151">
        <f t="shared" si="9"/>
        <v>0</v>
      </c>
      <c r="CA29" s="151">
        <f t="shared" si="9"/>
        <v>0</v>
      </c>
      <c r="CB29" s="151">
        <f t="shared" si="9"/>
        <v>0</v>
      </c>
      <c r="CC29" s="151">
        <f t="shared" si="9"/>
        <v>0</v>
      </c>
      <c r="CD29" s="151">
        <f t="shared" si="9"/>
        <v>0</v>
      </c>
      <c r="CE29" s="151">
        <f t="shared" si="9"/>
        <v>0</v>
      </c>
      <c r="CF29" s="151">
        <f t="shared" si="9"/>
        <v>0</v>
      </c>
      <c r="CG29" s="151">
        <f t="shared" si="9"/>
        <v>0</v>
      </c>
      <c r="CH29" s="151">
        <f t="shared" si="9"/>
        <v>0</v>
      </c>
      <c r="CI29" s="151">
        <f t="shared" si="9"/>
        <v>0</v>
      </c>
      <c r="CJ29" s="151">
        <f t="shared" si="9"/>
        <v>0</v>
      </c>
      <c r="CK29" s="151">
        <f t="shared" si="9"/>
        <v>0</v>
      </c>
      <c r="CL29" s="151">
        <f t="shared" si="9"/>
        <v>0</v>
      </c>
      <c r="CM29" s="151">
        <f t="shared" si="9"/>
        <v>0</v>
      </c>
      <c r="CN29" s="151">
        <f t="shared" si="9"/>
        <v>0</v>
      </c>
      <c r="CO29" s="151">
        <f t="shared" si="9"/>
        <v>0</v>
      </c>
      <c r="CP29" s="151">
        <f t="shared" si="9"/>
        <v>0</v>
      </c>
      <c r="CQ29" s="151">
        <f t="shared" si="9"/>
        <v>0</v>
      </c>
      <c r="CR29" s="151">
        <f t="shared" si="9"/>
        <v>0</v>
      </c>
      <c r="CS29" s="151">
        <f t="shared" si="9"/>
        <v>0</v>
      </c>
      <c r="CT29" s="151">
        <f t="shared" si="9"/>
        <v>0</v>
      </c>
      <c r="CU29" s="151">
        <f t="shared" si="9"/>
        <v>0</v>
      </c>
      <c r="CV29" s="151">
        <f t="shared" si="9"/>
        <v>0</v>
      </c>
      <c r="CW29" s="151">
        <f t="shared" si="9"/>
        <v>0</v>
      </c>
      <c r="CX29" s="151">
        <f t="shared" si="9"/>
        <v>0</v>
      </c>
      <c r="CY29" s="151">
        <f t="shared" si="9"/>
        <v>0</v>
      </c>
      <c r="CZ29" s="151">
        <f t="shared" si="9"/>
        <v>0</v>
      </c>
      <c r="DA29" s="151">
        <f t="shared" si="9"/>
        <v>0</v>
      </c>
      <c r="DB29" s="151">
        <f t="shared" si="9"/>
        <v>0</v>
      </c>
      <c r="DC29" s="151">
        <f t="shared" si="9"/>
        <v>0</v>
      </c>
      <c r="DD29" s="151">
        <f t="shared" si="9"/>
        <v>0</v>
      </c>
      <c r="DE29" s="151">
        <f t="shared" si="9"/>
        <v>0</v>
      </c>
      <c r="DF29" s="151">
        <f t="shared" si="9"/>
        <v>0</v>
      </c>
    </row>
    <row r="30" spans="1:110" ht="18" customHeight="1" thickBot="1">
      <c r="A30" s="96" t="s">
        <v>336</v>
      </c>
      <c r="B30" s="96">
        <f>'Farm and Buffer Assumptions'!D35</f>
        <v>15</v>
      </c>
      <c r="C30" s="96" t="s">
        <v>93</v>
      </c>
      <c r="D30" s="97">
        <f>IF('Farm and Buffer Assumptions'!D48=1,'Buffer input prices'!D21*'Farm and Buffer Assumptions'!D36,0)</f>
        <v>230</v>
      </c>
      <c r="E30" s="121">
        <v>1</v>
      </c>
      <c r="F30" s="120">
        <f>E30*D30</f>
        <v>230</v>
      </c>
      <c r="G30" s="152">
        <f>-PV('Farm and Buffer Assumptions'!D20,B30,F30)</f>
        <v>2557.2291093986696</v>
      </c>
      <c r="H30" s="153"/>
      <c r="J30" s="97" t="s">
        <v>337</v>
      </c>
      <c r="K30" s="151">
        <f>IF(K26&lt;=$B$30,$F$30,0)</f>
        <v>230</v>
      </c>
      <c r="L30" s="151">
        <f aca="true" t="shared" si="10" ref="L30:BW30">IF(L26&lt;=$B$30,$F$30,0)</f>
        <v>230</v>
      </c>
      <c r="M30" s="151">
        <f t="shared" si="10"/>
        <v>230</v>
      </c>
      <c r="N30" s="151">
        <f t="shared" si="10"/>
        <v>230</v>
      </c>
      <c r="O30" s="151">
        <f t="shared" si="10"/>
        <v>230</v>
      </c>
      <c r="P30" s="151">
        <f t="shared" si="10"/>
        <v>230</v>
      </c>
      <c r="Q30" s="151">
        <f t="shared" si="10"/>
        <v>230</v>
      </c>
      <c r="R30" s="151">
        <f t="shared" si="10"/>
        <v>230</v>
      </c>
      <c r="S30" s="151">
        <f t="shared" si="10"/>
        <v>230</v>
      </c>
      <c r="T30" s="151">
        <f t="shared" si="10"/>
        <v>230</v>
      </c>
      <c r="U30" s="151">
        <f t="shared" si="10"/>
        <v>230</v>
      </c>
      <c r="V30" s="151">
        <f t="shared" si="10"/>
        <v>230</v>
      </c>
      <c r="W30" s="151">
        <f t="shared" si="10"/>
        <v>230</v>
      </c>
      <c r="X30" s="151">
        <f t="shared" si="10"/>
        <v>230</v>
      </c>
      <c r="Y30" s="151">
        <f t="shared" si="10"/>
        <v>230</v>
      </c>
      <c r="Z30" s="151">
        <f t="shared" si="10"/>
        <v>0</v>
      </c>
      <c r="AA30" s="151">
        <f t="shared" si="10"/>
        <v>0</v>
      </c>
      <c r="AB30" s="151">
        <f t="shared" si="10"/>
        <v>0</v>
      </c>
      <c r="AC30" s="151">
        <f t="shared" si="10"/>
        <v>0</v>
      </c>
      <c r="AD30" s="151">
        <f t="shared" si="10"/>
        <v>0</v>
      </c>
      <c r="AE30" s="151">
        <f t="shared" si="10"/>
        <v>0</v>
      </c>
      <c r="AF30" s="151">
        <f t="shared" si="10"/>
        <v>0</v>
      </c>
      <c r="AG30" s="151">
        <f t="shared" si="10"/>
        <v>0</v>
      </c>
      <c r="AH30" s="151">
        <f t="shared" si="10"/>
        <v>0</v>
      </c>
      <c r="AI30" s="151">
        <f t="shared" si="10"/>
        <v>0</v>
      </c>
      <c r="AJ30" s="151">
        <f t="shared" si="10"/>
        <v>0</v>
      </c>
      <c r="AK30" s="151">
        <f t="shared" si="10"/>
        <v>0</v>
      </c>
      <c r="AL30" s="151">
        <f t="shared" si="10"/>
        <v>0</v>
      </c>
      <c r="AM30" s="151">
        <f t="shared" si="10"/>
        <v>0</v>
      </c>
      <c r="AN30" s="151">
        <f t="shared" si="10"/>
        <v>0</v>
      </c>
      <c r="AO30" s="151">
        <f t="shared" si="10"/>
        <v>0</v>
      </c>
      <c r="AP30" s="151">
        <f t="shared" si="10"/>
        <v>0</v>
      </c>
      <c r="AQ30" s="151">
        <f t="shared" si="10"/>
        <v>0</v>
      </c>
      <c r="AR30" s="151">
        <f t="shared" si="10"/>
        <v>0</v>
      </c>
      <c r="AS30" s="151">
        <f t="shared" si="10"/>
        <v>0</v>
      </c>
      <c r="AT30" s="151">
        <f t="shared" si="10"/>
        <v>0</v>
      </c>
      <c r="AU30" s="151">
        <f t="shared" si="10"/>
        <v>0</v>
      </c>
      <c r="AV30" s="151">
        <f t="shared" si="10"/>
        <v>0</v>
      </c>
      <c r="AW30" s="151">
        <f t="shared" si="10"/>
        <v>0</v>
      </c>
      <c r="AX30" s="151">
        <f t="shared" si="10"/>
        <v>0</v>
      </c>
      <c r="AY30" s="151">
        <f t="shared" si="10"/>
        <v>0</v>
      </c>
      <c r="AZ30" s="151">
        <f t="shared" si="10"/>
        <v>0</v>
      </c>
      <c r="BA30" s="151">
        <f t="shared" si="10"/>
        <v>0</v>
      </c>
      <c r="BB30" s="151">
        <f t="shared" si="10"/>
        <v>0</v>
      </c>
      <c r="BC30" s="151">
        <f t="shared" si="10"/>
        <v>0</v>
      </c>
      <c r="BD30" s="151">
        <f t="shared" si="10"/>
        <v>0</v>
      </c>
      <c r="BE30" s="151">
        <f t="shared" si="10"/>
        <v>0</v>
      </c>
      <c r="BF30" s="151">
        <f t="shared" si="10"/>
        <v>0</v>
      </c>
      <c r="BG30" s="151">
        <f t="shared" si="10"/>
        <v>0</v>
      </c>
      <c r="BH30" s="151">
        <f t="shared" si="10"/>
        <v>0</v>
      </c>
      <c r="BI30" s="151">
        <f t="shared" si="10"/>
        <v>0</v>
      </c>
      <c r="BJ30" s="151">
        <f t="shared" si="10"/>
        <v>0</v>
      </c>
      <c r="BK30" s="151">
        <f t="shared" si="10"/>
        <v>0</v>
      </c>
      <c r="BL30" s="151">
        <f t="shared" si="10"/>
        <v>0</v>
      </c>
      <c r="BM30" s="151">
        <f t="shared" si="10"/>
        <v>0</v>
      </c>
      <c r="BN30" s="151">
        <f t="shared" si="10"/>
        <v>0</v>
      </c>
      <c r="BO30" s="151">
        <f t="shared" si="10"/>
        <v>0</v>
      </c>
      <c r="BP30" s="151">
        <f t="shared" si="10"/>
        <v>0</v>
      </c>
      <c r="BQ30" s="151">
        <f t="shared" si="10"/>
        <v>0</v>
      </c>
      <c r="BR30" s="151">
        <f t="shared" si="10"/>
        <v>0</v>
      </c>
      <c r="BS30" s="151">
        <f t="shared" si="10"/>
        <v>0</v>
      </c>
      <c r="BT30" s="151">
        <f t="shared" si="10"/>
        <v>0</v>
      </c>
      <c r="BU30" s="151">
        <f t="shared" si="10"/>
        <v>0</v>
      </c>
      <c r="BV30" s="151">
        <f t="shared" si="10"/>
        <v>0</v>
      </c>
      <c r="BW30" s="151">
        <f t="shared" si="10"/>
        <v>0</v>
      </c>
      <c r="BX30" s="151">
        <f aca="true" t="shared" si="11" ref="BX30:DF30">IF(BX26&lt;=$B$30,$F$30,0)</f>
        <v>0</v>
      </c>
      <c r="BY30" s="151">
        <f t="shared" si="11"/>
        <v>0</v>
      </c>
      <c r="BZ30" s="151">
        <f t="shared" si="11"/>
        <v>0</v>
      </c>
      <c r="CA30" s="151">
        <f t="shared" si="11"/>
        <v>0</v>
      </c>
      <c r="CB30" s="151">
        <f t="shared" si="11"/>
        <v>0</v>
      </c>
      <c r="CC30" s="151">
        <f t="shared" si="11"/>
        <v>0</v>
      </c>
      <c r="CD30" s="151">
        <f t="shared" si="11"/>
        <v>0</v>
      </c>
      <c r="CE30" s="151">
        <f t="shared" si="11"/>
        <v>0</v>
      </c>
      <c r="CF30" s="151">
        <f t="shared" si="11"/>
        <v>0</v>
      </c>
      <c r="CG30" s="151">
        <f t="shared" si="11"/>
        <v>0</v>
      </c>
      <c r="CH30" s="151">
        <f t="shared" si="11"/>
        <v>0</v>
      </c>
      <c r="CI30" s="151">
        <f t="shared" si="11"/>
        <v>0</v>
      </c>
      <c r="CJ30" s="151">
        <f t="shared" si="11"/>
        <v>0</v>
      </c>
      <c r="CK30" s="151">
        <f t="shared" si="11"/>
        <v>0</v>
      </c>
      <c r="CL30" s="151">
        <f t="shared" si="11"/>
        <v>0</v>
      </c>
      <c r="CM30" s="151">
        <f t="shared" si="11"/>
        <v>0</v>
      </c>
      <c r="CN30" s="151">
        <f t="shared" si="11"/>
        <v>0</v>
      </c>
      <c r="CO30" s="151">
        <f t="shared" si="11"/>
        <v>0</v>
      </c>
      <c r="CP30" s="151">
        <f t="shared" si="11"/>
        <v>0</v>
      </c>
      <c r="CQ30" s="151">
        <f t="shared" si="11"/>
        <v>0</v>
      </c>
      <c r="CR30" s="151">
        <f t="shared" si="11"/>
        <v>0</v>
      </c>
      <c r="CS30" s="151">
        <f t="shared" si="11"/>
        <v>0</v>
      </c>
      <c r="CT30" s="151">
        <f t="shared" si="11"/>
        <v>0</v>
      </c>
      <c r="CU30" s="151">
        <f t="shared" si="11"/>
        <v>0</v>
      </c>
      <c r="CV30" s="151">
        <f t="shared" si="11"/>
        <v>0</v>
      </c>
      <c r="CW30" s="151">
        <f t="shared" si="11"/>
        <v>0</v>
      </c>
      <c r="CX30" s="151">
        <f t="shared" si="11"/>
        <v>0</v>
      </c>
      <c r="CY30" s="151">
        <f t="shared" si="11"/>
        <v>0</v>
      </c>
      <c r="CZ30" s="151">
        <f t="shared" si="11"/>
        <v>0</v>
      </c>
      <c r="DA30" s="151">
        <f t="shared" si="11"/>
        <v>0</v>
      </c>
      <c r="DB30" s="151">
        <f t="shared" si="11"/>
        <v>0</v>
      </c>
      <c r="DC30" s="151">
        <f t="shared" si="11"/>
        <v>0</v>
      </c>
      <c r="DD30" s="151">
        <f t="shared" si="11"/>
        <v>0</v>
      </c>
      <c r="DE30" s="151">
        <f t="shared" si="11"/>
        <v>0</v>
      </c>
      <c r="DF30" s="151">
        <f t="shared" si="11"/>
        <v>0</v>
      </c>
    </row>
    <row r="31" spans="1:110" ht="18" customHeight="1" thickBot="1">
      <c r="A31" s="96" t="s">
        <v>338</v>
      </c>
      <c r="B31" s="96">
        <v>1</v>
      </c>
      <c r="C31" s="96" t="s">
        <v>93</v>
      </c>
      <c r="D31" s="97">
        <f>IF('Farm and Buffer Assumptions'!D49=1,'Farm and Buffer Assumptions'!D37,0)</f>
        <v>0</v>
      </c>
      <c r="E31" s="121">
        <v>1</v>
      </c>
      <c r="F31" s="120">
        <f>E31*D31</f>
        <v>0</v>
      </c>
      <c r="G31" s="189">
        <f>F31</f>
        <v>0</v>
      </c>
      <c r="H31" s="153"/>
      <c r="J31" s="97" t="s">
        <v>339</v>
      </c>
      <c r="K31" s="151">
        <f>F31</f>
        <v>0</v>
      </c>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row>
    <row r="32" spans="1:110" ht="18" customHeight="1" thickBot="1">
      <c r="A32" s="154" t="s">
        <v>340</v>
      </c>
      <c r="B32" s="154"/>
      <c r="C32" s="100"/>
      <c r="D32" s="100"/>
      <c r="E32" s="100"/>
      <c r="F32" s="155">
        <f>SUM(F28:F31)</f>
        <v>1840</v>
      </c>
      <c r="G32" s="156">
        <f>SUM(G28:G31)</f>
        <v>4512.411342500291</v>
      </c>
      <c r="H32" s="157"/>
      <c r="J32" s="97" t="s">
        <v>341</v>
      </c>
      <c r="K32" s="151">
        <f>F37</f>
        <v>1510</v>
      </c>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row>
    <row r="33" spans="6:110" ht="18" customHeight="1">
      <c r="F33" s="9"/>
      <c r="G33" s="158"/>
      <c r="H33" s="475"/>
      <c r="J33" s="97" t="s">
        <v>342</v>
      </c>
      <c r="K33" s="97">
        <v>0</v>
      </c>
      <c r="L33" s="151">
        <f>F41</f>
        <v>100</v>
      </c>
      <c r="M33" s="151">
        <f>F41</f>
        <v>100</v>
      </c>
      <c r="N33" s="151">
        <f>F41</f>
        <v>100</v>
      </c>
      <c r="O33" s="151">
        <f>F41</f>
        <v>100</v>
      </c>
      <c r="P33" s="151">
        <f>F41</f>
        <v>100</v>
      </c>
      <c r="Q33" s="151">
        <f>F41</f>
        <v>100</v>
      </c>
      <c r="R33" s="151">
        <f>F41</f>
        <v>100</v>
      </c>
      <c r="S33" s="151">
        <f>F41</f>
        <v>100</v>
      </c>
      <c r="T33" s="151">
        <f>F41</f>
        <v>100</v>
      </c>
      <c r="U33" s="151">
        <f>F41</f>
        <v>100</v>
      </c>
      <c r="V33" s="151">
        <f>F41</f>
        <v>100</v>
      </c>
      <c r="W33" s="151">
        <f>F41</f>
        <v>100</v>
      </c>
      <c r="X33" s="151">
        <f>F41</f>
        <v>100</v>
      </c>
      <c r="Y33" s="151">
        <f>F41</f>
        <v>100</v>
      </c>
      <c r="Z33" s="151">
        <f>F41</f>
        <v>100</v>
      </c>
      <c r="AA33" s="151">
        <f>F41</f>
        <v>100</v>
      </c>
      <c r="AB33" s="151">
        <f>F41</f>
        <v>100</v>
      </c>
      <c r="AC33" s="151">
        <f>F41</f>
        <v>100</v>
      </c>
      <c r="AD33" s="151">
        <f>$F$41</f>
        <v>100</v>
      </c>
      <c r="AE33" s="151">
        <f aca="true" t="shared" si="12" ref="AE33:CP33">$F$41</f>
        <v>100</v>
      </c>
      <c r="AF33" s="151">
        <f t="shared" si="12"/>
        <v>100</v>
      </c>
      <c r="AG33" s="151">
        <f t="shared" si="12"/>
        <v>100</v>
      </c>
      <c r="AH33" s="151">
        <f t="shared" si="12"/>
        <v>100</v>
      </c>
      <c r="AI33" s="151">
        <f t="shared" si="12"/>
        <v>100</v>
      </c>
      <c r="AJ33" s="151">
        <f t="shared" si="12"/>
        <v>100</v>
      </c>
      <c r="AK33" s="151">
        <f t="shared" si="12"/>
        <v>100</v>
      </c>
      <c r="AL33" s="151">
        <f t="shared" si="12"/>
        <v>100</v>
      </c>
      <c r="AM33" s="151">
        <f t="shared" si="12"/>
        <v>100</v>
      </c>
      <c r="AN33" s="151">
        <f t="shared" si="12"/>
        <v>100</v>
      </c>
      <c r="AO33" s="151">
        <f t="shared" si="12"/>
        <v>100</v>
      </c>
      <c r="AP33" s="151">
        <f t="shared" si="12"/>
        <v>100</v>
      </c>
      <c r="AQ33" s="151">
        <f t="shared" si="12"/>
        <v>100</v>
      </c>
      <c r="AR33" s="151">
        <f t="shared" si="12"/>
        <v>100</v>
      </c>
      <c r="AS33" s="151">
        <f t="shared" si="12"/>
        <v>100</v>
      </c>
      <c r="AT33" s="151">
        <f t="shared" si="12"/>
        <v>100</v>
      </c>
      <c r="AU33" s="151">
        <f t="shared" si="12"/>
        <v>100</v>
      </c>
      <c r="AV33" s="151">
        <f t="shared" si="12"/>
        <v>100</v>
      </c>
      <c r="AW33" s="151">
        <f t="shared" si="12"/>
        <v>100</v>
      </c>
      <c r="AX33" s="151">
        <f t="shared" si="12"/>
        <v>100</v>
      </c>
      <c r="AY33" s="151">
        <f t="shared" si="12"/>
        <v>100</v>
      </c>
      <c r="AZ33" s="151">
        <f t="shared" si="12"/>
        <v>100</v>
      </c>
      <c r="BA33" s="151">
        <f t="shared" si="12"/>
        <v>100</v>
      </c>
      <c r="BB33" s="151">
        <f t="shared" si="12"/>
        <v>100</v>
      </c>
      <c r="BC33" s="151">
        <f t="shared" si="12"/>
        <v>100</v>
      </c>
      <c r="BD33" s="151">
        <f t="shared" si="12"/>
        <v>100</v>
      </c>
      <c r="BE33" s="151">
        <f t="shared" si="12"/>
        <v>100</v>
      </c>
      <c r="BF33" s="151">
        <f t="shared" si="12"/>
        <v>100</v>
      </c>
      <c r="BG33" s="151">
        <f t="shared" si="12"/>
        <v>100</v>
      </c>
      <c r="BH33" s="151">
        <f t="shared" si="12"/>
        <v>100</v>
      </c>
      <c r="BI33" s="151">
        <f t="shared" si="12"/>
        <v>100</v>
      </c>
      <c r="BJ33" s="151">
        <f t="shared" si="12"/>
        <v>100</v>
      </c>
      <c r="BK33" s="151">
        <f t="shared" si="12"/>
        <v>100</v>
      </c>
      <c r="BL33" s="151">
        <f t="shared" si="12"/>
        <v>100</v>
      </c>
      <c r="BM33" s="151">
        <f t="shared" si="12"/>
        <v>100</v>
      </c>
      <c r="BN33" s="151">
        <f t="shared" si="12"/>
        <v>100</v>
      </c>
      <c r="BO33" s="151">
        <f t="shared" si="12"/>
        <v>100</v>
      </c>
      <c r="BP33" s="151">
        <f t="shared" si="12"/>
        <v>100</v>
      </c>
      <c r="BQ33" s="151">
        <f t="shared" si="12"/>
        <v>100</v>
      </c>
      <c r="BR33" s="151">
        <f t="shared" si="12"/>
        <v>100</v>
      </c>
      <c r="BS33" s="151">
        <f t="shared" si="12"/>
        <v>100</v>
      </c>
      <c r="BT33" s="151">
        <f t="shared" si="12"/>
        <v>100</v>
      </c>
      <c r="BU33" s="151">
        <f t="shared" si="12"/>
        <v>100</v>
      </c>
      <c r="BV33" s="151">
        <f t="shared" si="12"/>
        <v>100</v>
      </c>
      <c r="BW33" s="151">
        <f t="shared" si="12"/>
        <v>100</v>
      </c>
      <c r="BX33" s="151">
        <f t="shared" si="12"/>
        <v>100</v>
      </c>
      <c r="BY33" s="151">
        <f t="shared" si="12"/>
        <v>100</v>
      </c>
      <c r="BZ33" s="151">
        <f t="shared" si="12"/>
        <v>100</v>
      </c>
      <c r="CA33" s="151">
        <f t="shared" si="12"/>
        <v>100</v>
      </c>
      <c r="CB33" s="151">
        <f t="shared" si="12"/>
        <v>100</v>
      </c>
      <c r="CC33" s="151">
        <f t="shared" si="12"/>
        <v>100</v>
      </c>
      <c r="CD33" s="151">
        <f t="shared" si="12"/>
        <v>100</v>
      </c>
      <c r="CE33" s="151">
        <f t="shared" si="12"/>
        <v>100</v>
      </c>
      <c r="CF33" s="151">
        <f t="shared" si="12"/>
        <v>100</v>
      </c>
      <c r="CG33" s="151">
        <f t="shared" si="12"/>
        <v>100</v>
      </c>
      <c r="CH33" s="151">
        <f t="shared" si="12"/>
        <v>100</v>
      </c>
      <c r="CI33" s="151">
        <f t="shared" si="12"/>
        <v>100</v>
      </c>
      <c r="CJ33" s="151">
        <f t="shared" si="12"/>
        <v>100</v>
      </c>
      <c r="CK33" s="151">
        <f t="shared" si="12"/>
        <v>100</v>
      </c>
      <c r="CL33" s="151">
        <f t="shared" si="12"/>
        <v>100</v>
      </c>
      <c r="CM33" s="151">
        <f t="shared" si="12"/>
        <v>100</v>
      </c>
      <c r="CN33" s="151">
        <f t="shared" si="12"/>
        <v>100</v>
      </c>
      <c r="CO33" s="151">
        <f t="shared" si="12"/>
        <v>100</v>
      </c>
      <c r="CP33" s="151">
        <f t="shared" si="12"/>
        <v>100</v>
      </c>
      <c r="CQ33" s="151">
        <f aca="true" t="shared" si="13" ref="CQ33:DF33">$F$41</f>
        <v>100</v>
      </c>
      <c r="CR33" s="151">
        <f t="shared" si="13"/>
        <v>100</v>
      </c>
      <c r="CS33" s="151">
        <f t="shared" si="13"/>
        <v>100</v>
      </c>
      <c r="CT33" s="151">
        <f t="shared" si="13"/>
        <v>100</v>
      </c>
      <c r="CU33" s="151">
        <f t="shared" si="13"/>
        <v>100</v>
      </c>
      <c r="CV33" s="151">
        <f t="shared" si="13"/>
        <v>100</v>
      </c>
      <c r="CW33" s="151">
        <f t="shared" si="13"/>
        <v>100</v>
      </c>
      <c r="CX33" s="151">
        <f t="shared" si="13"/>
        <v>100</v>
      </c>
      <c r="CY33" s="151">
        <f t="shared" si="13"/>
        <v>100</v>
      </c>
      <c r="CZ33" s="151">
        <f t="shared" si="13"/>
        <v>100</v>
      </c>
      <c r="DA33" s="151">
        <f t="shared" si="13"/>
        <v>100</v>
      </c>
      <c r="DB33" s="151">
        <f t="shared" si="13"/>
        <v>100</v>
      </c>
      <c r="DC33" s="151">
        <f t="shared" si="13"/>
        <v>100</v>
      </c>
      <c r="DD33" s="151">
        <f t="shared" si="13"/>
        <v>100</v>
      </c>
      <c r="DE33" s="151">
        <f t="shared" si="13"/>
        <v>100</v>
      </c>
      <c r="DF33" s="151">
        <f t="shared" si="13"/>
        <v>100</v>
      </c>
    </row>
    <row r="34" spans="1:110" ht="18" customHeight="1">
      <c r="A34" s="401" t="s">
        <v>343</v>
      </c>
      <c r="B34" s="401"/>
      <c r="C34" s="231"/>
      <c r="D34" s="231"/>
      <c r="E34" s="231"/>
      <c r="F34" s="378"/>
      <c r="G34" s="469"/>
      <c r="H34" s="383" t="s">
        <v>363</v>
      </c>
      <c r="J34" s="190" t="s">
        <v>344</v>
      </c>
      <c r="K34" s="135">
        <f>SUM(K28:K31)-SUM(K32:K33)</f>
        <v>230</v>
      </c>
      <c r="L34" s="135">
        <f aca="true" t="shared" si="14" ref="L34:Y34">SUM(L28:L31)-SUM(L32:L33)</f>
        <v>230</v>
      </c>
      <c r="M34" s="135">
        <f t="shared" si="14"/>
        <v>230</v>
      </c>
      <c r="N34" s="135">
        <f t="shared" si="14"/>
        <v>230</v>
      </c>
      <c r="O34" s="135">
        <f t="shared" si="14"/>
        <v>230</v>
      </c>
      <c r="P34" s="135">
        <f t="shared" si="14"/>
        <v>230</v>
      </c>
      <c r="Q34" s="135">
        <f t="shared" si="14"/>
        <v>130</v>
      </c>
      <c r="R34" s="135">
        <f t="shared" si="14"/>
        <v>130</v>
      </c>
      <c r="S34" s="135">
        <f t="shared" si="14"/>
        <v>130</v>
      </c>
      <c r="T34" s="135">
        <f t="shared" si="14"/>
        <v>130</v>
      </c>
      <c r="U34" s="135">
        <f t="shared" si="14"/>
        <v>130</v>
      </c>
      <c r="V34" s="135">
        <f t="shared" si="14"/>
        <v>130</v>
      </c>
      <c r="W34" s="135">
        <f t="shared" si="14"/>
        <v>130</v>
      </c>
      <c r="X34" s="135">
        <f t="shared" si="14"/>
        <v>130</v>
      </c>
      <c r="Y34" s="135">
        <f t="shared" si="14"/>
        <v>130</v>
      </c>
      <c r="Z34" s="135">
        <f>SUM(Z28:Z31)-SUM(Z32:Z33)</f>
        <v>-100</v>
      </c>
      <c r="AA34" s="135">
        <f>SUM(AA28:AA31)-SUM(AA32:AA33)</f>
        <v>-100</v>
      </c>
      <c r="AB34" s="135">
        <f>SUM(AB28:AB31)-SUM(AB32:AB33)</f>
        <v>-100</v>
      </c>
      <c r="AC34" s="135">
        <f>SUM(AC28:AC31)-SUM(AC32:AC33)</f>
        <v>-100</v>
      </c>
      <c r="AD34" s="135">
        <f>SUM(AD28:AD31)-SUM(AD32:AD33)</f>
        <v>-100</v>
      </c>
      <c r="AE34" s="135">
        <f aca="true" t="shared" si="15" ref="AE34:CP34">SUM(AE28:AE31)-SUM(AE32:AE33)</f>
        <v>-100</v>
      </c>
      <c r="AF34" s="135">
        <f t="shared" si="15"/>
        <v>-100</v>
      </c>
      <c r="AG34" s="135">
        <f t="shared" si="15"/>
        <v>-100</v>
      </c>
      <c r="AH34" s="135">
        <f t="shared" si="15"/>
        <v>-100</v>
      </c>
      <c r="AI34" s="135">
        <f t="shared" si="15"/>
        <v>-100</v>
      </c>
      <c r="AJ34" s="135">
        <f t="shared" si="15"/>
        <v>-100</v>
      </c>
      <c r="AK34" s="135">
        <f t="shared" si="15"/>
        <v>-100</v>
      </c>
      <c r="AL34" s="135">
        <f t="shared" si="15"/>
        <v>-100</v>
      </c>
      <c r="AM34" s="135">
        <f t="shared" si="15"/>
        <v>-100</v>
      </c>
      <c r="AN34" s="135">
        <f t="shared" si="15"/>
        <v>-100</v>
      </c>
      <c r="AO34" s="135">
        <f t="shared" si="15"/>
        <v>-100</v>
      </c>
      <c r="AP34" s="135">
        <f t="shared" si="15"/>
        <v>-100</v>
      </c>
      <c r="AQ34" s="135">
        <f t="shared" si="15"/>
        <v>-100</v>
      </c>
      <c r="AR34" s="135">
        <f t="shared" si="15"/>
        <v>-100</v>
      </c>
      <c r="AS34" s="135">
        <f t="shared" si="15"/>
        <v>-100</v>
      </c>
      <c r="AT34" s="135">
        <f t="shared" si="15"/>
        <v>-100</v>
      </c>
      <c r="AU34" s="135">
        <f t="shared" si="15"/>
        <v>-100</v>
      </c>
      <c r="AV34" s="135">
        <f t="shared" si="15"/>
        <v>-100</v>
      </c>
      <c r="AW34" s="135">
        <f t="shared" si="15"/>
        <v>-100</v>
      </c>
      <c r="AX34" s="135">
        <f t="shared" si="15"/>
        <v>-100</v>
      </c>
      <c r="AY34" s="135">
        <f t="shared" si="15"/>
        <v>-100</v>
      </c>
      <c r="AZ34" s="135">
        <f t="shared" si="15"/>
        <v>-100</v>
      </c>
      <c r="BA34" s="135">
        <f t="shared" si="15"/>
        <v>-100</v>
      </c>
      <c r="BB34" s="135">
        <f t="shared" si="15"/>
        <v>-100</v>
      </c>
      <c r="BC34" s="135">
        <f t="shared" si="15"/>
        <v>-100</v>
      </c>
      <c r="BD34" s="135">
        <f t="shared" si="15"/>
        <v>-100</v>
      </c>
      <c r="BE34" s="135">
        <f t="shared" si="15"/>
        <v>-100</v>
      </c>
      <c r="BF34" s="135">
        <f t="shared" si="15"/>
        <v>-100</v>
      </c>
      <c r="BG34" s="135">
        <f t="shared" si="15"/>
        <v>-100</v>
      </c>
      <c r="BH34" s="135">
        <f t="shared" si="15"/>
        <v>-100</v>
      </c>
      <c r="BI34" s="135">
        <f t="shared" si="15"/>
        <v>-100</v>
      </c>
      <c r="BJ34" s="135">
        <f t="shared" si="15"/>
        <v>-100</v>
      </c>
      <c r="BK34" s="135">
        <f t="shared" si="15"/>
        <v>-100</v>
      </c>
      <c r="BL34" s="135">
        <f t="shared" si="15"/>
        <v>-100</v>
      </c>
      <c r="BM34" s="135">
        <f t="shared" si="15"/>
        <v>-100</v>
      </c>
      <c r="BN34" s="135">
        <f t="shared" si="15"/>
        <v>-100</v>
      </c>
      <c r="BO34" s="135">
        <f t="shared" si="15"/>
        <v>-100</v>
      </c>
      <c r="BP34" s="135">
        <f t="shared" si="15"/>
        <v>-100</v>
      </c>
      <c r="BQ34" s="135">
        <f t="shared" si="15"/>
        <v>-100</v>
      </c>
      <c r="BR34" s="135">
        <f t="shared" si="15"/>
        <v>-100</v>
      </c>
      <c r="BS34" s="135">
        <f t="shared" si="15"/>
        <v>-100</v>
      </c>
      <c r="BT34" s="135">
        <f t="shared" si="15"/>
        <v>-100</v>
      </c>
      <c r="BU34" s="135">
        <f t="shared" si="15"/>
        <v>-100</v>
      </c>
      <c r="BV34" s="135">
        <f t="shared" si="15"/>
        <v>-100</v>
      </c>
      <c r="BW34" s="135">
        <f t="shared" si="15"/>
        <v>-100</v>
      </c>
      <c r="BX34" s="135">
        <f t="shared" si="15"/>
        <v>-100</v>
      </c>
      <c r="BY34" s="135">
        <f t="shared" si="15"/>
        <v>-100</v>
      </c>
      <c r="BZ34" s="135">
        <f t="shared" si="15"/>
        <v>-100</v>
      </c>
      <c r="CA34" s="135">
        <f t="shared" si="15"/>
        <v>-100</v>
      </c>
      <c r="CB34" s="135">
        <f t="shared" si="15"/>
        <v>-100</v>
      </c>
      <c r="CC34" s="135">
        <f t="shared" si="15"/>
        <v>-100</v>
      </c>
      <c r="CD34" s="135">
        <f t="shared" si="15"/>
        <v>-100</v>
      </c>
      <c r="CE34" s="135">
        <f t="shared" si="15"/>
        <v>-100</v>
      </c>
      <c r="CF34" s="135">
        <f t="shared" si="15"/>
        <v>-100</v>
      </c>
      <c r="CG34" s="135">
        <f t="shared" si="15"/>
        <v>-100</v>
      </c>
      <c r="CH34" s="135">
        <f t="shared" si="15"/>
        <v>-100</v>
      </c>
      <c r="CI34" s="135">
        <f t="shared" si="15"/>
        <v>-100</v>
      </c>
      <c r="CJ34" s="135">
        <f t="shared" si="15"/>
        <v>-100</v>
      </c>
      <c r="CK34" s="135">
        <f t="shared" si="15"/>
        <v>-100</v>
      </c>
      <c r="CL34" s="135">
        <f t="shared" si="15"/>
        <v>-100</v>
      </c>
      <c r="CM34" s="135">
        <f t="shared" si="15"/>
        <v>-100</v>
      </c>
      <c r="CN34" s="135">
        <f t="shared" si="15"/>
        <v>-100</v>
      </c>
      <c r="CO34" s="135">
        <f t="shared" si="15"/>
        <v>-100</v>
      </c>
      <c r="CP34" s="135">
        <f t="shared" si="15"/>
        <v>-100</v>
      </c>
      <c r="CQ34" s="135">
        <f aca="true" t="shared" si="16" ref="CQ34:DF34">SUM(CQ28:CQ31)-SUM(CQ32:CQ33)</f>
        <v>-100</v>
      </c>
      <c r="CR34" s="135">
        <f t="shared" si="16"/>
        <v>-100</v>
      </c>
      <c r="CS34" s="135">
        <f t="shared" si="16"/>
        <v>-100</v>
      </c>
      <c r="CT34" s="135">
        <f t="shared" si="16"/>
        <v>-100</v>
      </c>
      <c r="CU34" s="135">
        <f t="shared" si="16"/>
        <v>-100</v>
      </c>
      <c r="CV34" s="135">
        <f t="shared" si="16"/>
        <v>-100</v>
      </c>
      <c r="CW34" s="135">
        <f t="shared" si="16"/>
        <v>-100</v>
      </c>
      <c r="CX34" s="135">
        <f t="shared" si="16"/>
        <v>-100</v>
      </c>
      <c r="CY34" s="135">
        <f t="shared" si="16"/>
        <v>-100</v>
      </c>
      <c r="CZ34" s="135">
        <f t="shared" si="16"/>
        <v>-100</v>
      </c>
      <c r="DA34" s="135">
        <f t="shared" si="16"/>
        <v>-100</v>
      </c>
      <c r="DB34" s="135">
        <f t="shared" si="16"/>
        <v>-100</v>
      </c>
      <c r="DC34" s="135">
        <f t="shared" si="16"/>
        <v>-100</v>
      </c>
      <c r="DD34" s="135">
        <f t="shared" si="16"/>
        <v>-100</v>
      </c>
      <c r="DE34" s="135">
        <f t="shared" si="16"/>
        <v>-100</v>
      </c>
      <c r="DF34" s="135">
        <f t="shared" si="16"/>
        <v>-100</v>
      </c>
    </row>
    <row r="35" spans="1:110" ht="18" customHeight="1">
      <c r="A35" s="96" t="s">
        <v>364</v>
      </c>
      <c r="B35" s="96">
        <v>1</v>
      </c>
      <c r="C35" s="96" t="s">
        <v>93</v>
      </c>
      <c r="D35" s="191">
        <f>'Buffer input prices'!D35</f>
        <v>850</v>
      </c>
      <c r="E35" s="121">
        <v>1</v>
      </c>
      <c r="F35" s="120">
        <f>E35*D35</f>
        <v>850</v>
      </c>
      <c r="G35" s="474">
        <f>D35*E35</f>
        <v>850</v>
      </c>
      <c r="H35" s="96" t="s">
        <v>365</v>
      </c>
      <c r="I35" s="1"/>
      <c r="J35" t="s">
        <v>366</v>
      </c>
      <c r="K35" s="162"/>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row>
    <row r="36" spans="1:16" ht="18" customHeight="1">
      <c r="A36" s="97" t="s">
        <v>367</v>
      </c>
      <c r="B36" s="97">
        <v>1</v>
      </c>
      <c r="C36" s="97" t="s">
        <v>93</v>
      </c>
      <c r="D36" s="160">
        <f>300+115+45+200</f>
        <v>660</v>
      </c>
      <c r="E36" s="139">
        <v>1</v>
      </c>
      <c r="F36" s="151">
        <f>E36*D36</f>
        <v>660</v>
      </c>
      <c r="G36" s="470">
        <f>D36*E36</f>
        <v>660</v>
      </c>
      <c r="H36" s="96"/>
      <c r="K36" s="162"/>
      <c r="M36" s="168" t="s">
        <v>368</v>
      </c>
      <c r="N36" s="169"/>
      <c r="O36" s="169"/>
      <c r="P36" s="193"/>
    </row>
    <row r="37" spans="1:14" ht="18" customHeight="1">
      <c r="A37" s="163" t="s">
        <v>346</v>
      </c>
      <c r="B37" s="164"/>
      <c r="C37" s="165"/>
      <c r="D37" s="166"/>
      <c r="E37" s="165"/>
      <c r="F37" s="166">
        <f>SUM(F35:F36)</f>
        <v>1510</v>
      </c>
      <c r="G37" s="167">
        <f>SUM(G35:G36)</f>
        <v>1510</v>
      </c>
      <c r="H37" s="195"/>
      <c r="J37" s="20" t="s">
        <v>466</v>
      </c>
      <c r="K37" s="175">
        <f>NPV('Farm and Buffer Assumptions'!D20,K34:AD34)</f>
        <v>1722.4101605765336</v>
      </c>
      <c r="M37" s="181">
        <f>K28</f>
        <v>1510</v>
      </c>
      <c r="N37" s="177" t="s">
        <v>332</v>
      </c>
    </row>
    <row r="38" spans="1:14" ht="18" customHeight="1">
      <c r="A38" s="170"/>
      <c r="B38" s="171"/>
      <c r="C38" s="172"/>
      <c r="D38" s="172"/>
      <c r="E38" s="172"/>
      <c r="F38" s="173"/>
      <c r="G38" s="174"/>
      <c r="H38" s="96"/>
      <c r="J38" s="20" t="s">
        <v>467</v>
      </c>
      <c r="K38" s="175">
        <f>NPV('Farm and Buffer Assumptions'!D20,K34:AN34)</f>
        <v>1352.2394650068545</v>
      </c>
      <c r="M38" s="178">
        <f>NPV('Farm and Buffer Assumptions'!D20,K29:N29)</f>
        <v>266.8356762718392</v>
      </c>
      <c r="N38" s="18" t="s">
        <v>369</v>
      </c>
    </row>
    <row r="39" spans="1:25" ht="18" customHeight="1">
      <c r="A39" s="401" t="s">
        <v>348</v>
      </c>
      <c r="B39" s="401"/>
      <c r="C39" s="231"/>
      <c r="D39" s="231"/>
      <c r="E39" s="231"/>
      <c r="F39" s="378"/>
      <c r="G39" s="469"/>
      <c r="H39" s="383"/>
      <c r="J39" s="20" t="s">
        <v>468</v>
      </c>
      <c r="K39" s="175">
        <f>NPV('Farm and Buffer Assumptions'!D20,K34:AX34)</f>
        <v>1102.1654067306567</v>
      </c>
      <c r="L39" s="1"/>
      <c r="M39" s="179">
        <f>NPV('Farm and Buffer Assumptions'!D20,K30:Y30)</f>
        <v>2557.2291093986673</v>
      </c>
      <c r="N39" s="177" t="s">
        <v>336</v>
      </c>
      <c r="O39" s="1"/>
      <c r="P39" s="1"/>
      <c r="Q39" s="1"/>
      <c r="R39" s="1"/>
      <c r="S39" s="1"/>
      <c r="T39" s="1"/>
      <c r="U39" s="1"/>
      <c r="V39" s="1"/>
      <c r="W39" s="1"/>
      <c r="X39" s="1"/>
      <c r="Y39" s="1"/>
    </row>
    <row r="40" spans="1:14" ht="18" customHeight="1">
      <c r="A40" s="97" t="s">
        <v>370</v>
      </c>
      <c r="B40" s="97" t="s">
        <v>351</v>
      </c>
      <c r="C40" s="97" t="s">
        <v>93</v>
      </c>
      <c r="D40" s="160">
        <f>'Buffer input prices'!D36</f>
        <v>50</v>
      </c>
      <c r="E40" s="139">
        <v>2</v>
      </c>
      <c r="F40" s="151">
        <f>E40*D40</f>
        <v>100</v>
      </c>
      <c r="G40" s="470">
        <f>(F40/'Farm and Buffer Assumptions'!D20)</f>
        <v>2500</v>
      </c>
      <c r="H40" s="96" t="s">
        <v>371</v>
      </c>
      <c r="J40" s="20" t="s">
        <v>469</v>
      </c>
      <c r="K40" s="175">
        <f>NPV('Farm and Buffer Assumptions'!D20,K34:BH34)</f>
        <v>933.2243334064029</v>
      </c>
      <c r="M40" s="178">
        <f>K31</f>
        <v>0</v>
      </c>
      <c r="N40" s="177" t="s">
        <v>338</v>
      </c>
    </row>
    <row r="41" spans="1:14" ht="18" customHeight="1">
      <c r="A41" s="180" t="s">
        <v>353</v>
      </c>
      <c r="B41" s="172"/>
      <c r="C41" s="172"/>
      <c r="D41" s="172"/>
      <c r="E41" s="172"/>
      <c r="F41" s="166">
        <f>SUM(F40:F40)</f>
        <v>100</v>
      </c>
      <c r="G41" s="167">
        <f>SUM(G40:G40)</f>
        <v>2500</v>
      </c>
      <c r="H41" s="96"/>
      <c r="J41" s="20" t="s">
        <v>470</v>
      </c>
      <c r="K41" s="175">
        <f>NPV('Farm and Buffer Assumptions'!D20,K34:BR34)</f>
        <v>819.0937976255648</v>
      </c>
      <c r="M41" s="181">
        <f>K32</f>
        <v>1510</v>
      </c>
      <c r="N41" s="182" t="s">
        <v>354</v>
      </c>
    </row>
    <row r="42" spans="1:14" ht="18" customHeight="1">
      <c r="A42" s="97"/>
      <c r="B42" s="97"/>
      <c r="C42" s="97"/>
      <c r="D42" s="160"/>
      <c r="E42" s="139"/>
      <c r="F42" s="139"/>
      <c r="G42" s="470"/>
      <c r="H42" s="96"/>
      <c r="J42" s="20" t="s">
        <v>471</v>
      </c>
      <c r="K42" s="175">
        <f>NPV('Farm and Buffer Assumptions'!D20,K34:CB34)</f>
        <v>741.99129708314</v>
      </c>
      <c r="M42" s="178">
        <f>NPV('Farm and Buffer Assumptions'!D20,K33:DF33)</f>
        <v>2354.3460535613513</v>
      </c>
      <c r="N42" t="s">
        <v>475</v>
      </c>
    </row>
    <row r="43" spans="1:13" ht="18" customHeight="1">
      <c r="A43" s="154" t="s">
        <v>355</v>
      </c>
      <c r="B43" s="154"/>
      <c r="C43" s="154"/>
      <c r="D43" s="183"/>
      <c r="E43" s="184"/>
      <c r="F43" s="184"/>
      <c r="G43" s="471">
        <f>G37+G41</f>
        <v>4010</v>
      </c>
      <c r="H43" s="194"/>
      <c r="J43" s="20" t="s">
        <v>472</v>
      </c>
      <c r="K43" s="175">
        <f>NPV('Farm and Buffer Assumptions'!D20,K34:CL34)</f>
        <v>689.9036103898061</v>
      </c>
      <c r="M43" s="178"/>
    </row>
    <row r="44" spans="1:14" ht="18" customHeight="1">
      <c r="A44" s="97"/>
      <c r="B44" s="97"/>
      <c r="C44" s="97"/>
      <c r="D44" s="97"/>
      <c r="E44" s="97"/>
      <c r="F44" s="151"/>
      <c r="G44" s="467"/>
      <c r="H44" s="96"/>
      <c r="J44" s="20" t="s">
        <v>473</v>
      </c>
      <c r="K44" s="175">
        <f>NPV('Farm and Buffer Assumptions'!D20,K34:CV34)</f>
        <v>654.7150356227654</v>
      </c>
      <c r="M44" s="186">
        <f>SUM(M37:M40)-SUM(M41:M43)</f>
        <v>469.7187321091551</v>
      </c>
      <c r="N44" t="s">
        <v>358</v>
      </c>
    </row>
    <row r="45" spans="1:11" ht="18" customHeight="1">
      <c r="A45" s="100" t="s">
        <v>357</v>
      </c>
      <c r="B45" s="100"/>
      <c r="C45" s="100"/>
      <c r="D45" s="100"/>
      <c r="E45" s="100"/>
      <c r="F45" s="175"/>
      <c r="G45" s="472">
        <f>G32-G43</f>
        <v>502.41134250029063</v>
      </c>
      <c r="H45" s="195"/>
      <c r="J45" s="20" t="s">
        <v>474</v>
      </c>
      <c r="K45" s="175">
        <f>NPV('Farm and Buffer Assumptions'!D20,K34:DF34)</f>
        <v>630.9428953581051</v>
      </c>
    </row>
    <row r="46" spans="1:11" ht="52.5" customHeight="1">
      <c r="A46" s="931" t="s">
        <v>478</v>
      </c>
      <c r="B46" s="932"/>
      <c r="C46" s="932"/>
      <c r="D46" s="932"/>
      <c r="E46" s="932"/>
      <c r="F46" s="932"/>
      <c r="G46" s="932"/>
      <c r="H46" s="932"/>
      <c r="J46" t="s">
        <v>360</v>
      </c>
      <c r="K46" s="188">
        <f>K45-G45</f>
        <v>128.53155285781452</v>
      </c>
    </row>
    <row r="47" spans="1:8" ht="21" customHeight="1">
      <c r="A47" s="934" t="s">
        <v>359</v>
      </c>
      <c r="B47" s="932"/>
      <c r="C47" s="932"/>
      <c r="D47" s="932"/>
      <c r="E47" s="932"/>
      <c r="F47" s="932"/>
      <c r="G47" s="932"/>
      <c r="H47" s="932"/>
    </row>
    <row r="48" spans="1:8" ht="27" customHeight="1">
      <c r="A48" s="932" t="s">
        <v>361</v>
      </c>
      <c r="B48" s="932"/>
      <c r="C48" s="932"/>
      <c r="D48" s="932"/>
      <c r="E48" s="932"/>
      <c r="F48" s="932"/>
      <c r="G48" s="932"/>
      <c r="H48" s="932"/>
    </row>
    <row r="49" spans="1:8" ht="38.25" customHeight="1">
      <c r="A49" s="932" t="s">
        <v>477</v>
      </c>
      <c r="B49" s="932"/>
      <c r="C49" s="932"/>
      <c r="D49" s="932"/>
      <c r="E49" s="932"/>
      <c r="F49" s="932"/>
      <c r="G49" s="932"/>
      <c r="H49" s="932"/>
    </row>
    <row r="50" spans="1:11" ht="29.25" customHeight="1" thickBot="1">
      <c r="A50" s="1"/>
      <c r="B50" s="1"/>
      <c r="C50" s="1"/>
      <c r="D50" s="1"/>
      <c r="E50" s="1"/>
      <c r="H50" s="1"/>
      <c r="K50" t="s">
        <v>325</v>
      </c>
    </row>
    <row r="51" spans="1:110" ht="40.5" customHeight="1" thickBot="1">
      <c r="A51" s="393" t="s">
        <v>372</v>
      </c>
      <c r="B51" s="380" t="s">
        <v>327</v>
      </c>
      <c r="C51" s="380" t="s">
        <v>83</v>
      </c>
      <c r="D51" s="381" t="s">
        <v>84</v>
      </c>
      <c r="E51" s="381" t="s">
        <v>85</v>
      </c>
      <c r="F51" s="381" t="s">
        <v>86</v>
      </c>
      <c r="G51" s="381" t="s">
        <v>328</v>
      </c>
      <c r="H51" s="380" t="s">
        <v>329</v>
      </c>
      <c r="J51" s="150" t="s">
        <v>330</v>
      </c>
      <c r="K51" s="97">
        <v>1</v>
      </c>
      <c r="L51" s="97">
        <v>2</v>
      </c>
      <c r="M51" s="97">
        <v>3</v>
      </c>
      <c r="N51" s="97">
        <v>4</v>
      </c>
      <c r="O51" s="97">
        <v>5</v>
      </c>
      <c r="P51" s="97">
        <v>6</v>
      </c>
      <c r="Q51" s="97">
        <v>7</v>
      </c>
      <c r="R51" s="97">
        <v>8</v>
      </c>
      <c r="S51" s="97">
        <v>9</v>
      </c>
      <c r="T51" s="97">
        <v>10</v>
      </c>
      <c r="U51" s="97">
        <v>11</v>
      </c>
      <c r="V51" s="97">
        <v>12</v>
      </c>
      <c r="W51" s="97">
        <v>13</v>
      </c>
      <c r="X51" s="97">
        <v>14</v>
      </c>
      <c r="Y51" s="97">
        <v>15</v>
      </c>
      <c r="Z51" s="95">
        <v>16</v>
      </c>
      <c r="AA51" s="95">
        <v>17</v>
      </c>
      <c r="AB51" s="95">
        <v>18</v>
      </c>
      <c r="AC51" s="95">
        <v>19</v>
      </c>
      <c r="AD51" s="95">
        <v>20</v>
      </c>
      <c r="AE51" s="95">
        <v>21</v>
      </c>
      <c r="AF51" s="95">
        <v>22</v>
      </c>
      <c r="AG51" s="95">
        <v>23</v>
      </c>
      <c r="AH51" s="95">
        <v>24</v>
      </c>
      <c r="AI51" s="95">
        <v>25</v>
      </c>
      <c r="AJ51" s="95">
        <v>26</v>
      </c>
      <c r="AK51" s="95">
        <v>27</v>
      </c>
      <c r="AL51" s="95">
        <v>28</v>
      </c>
      <c r="AM51" s="95">
        <v>29</v>
      </c>
      <c r="AN51" s="95">
        <v>30</v>
      </c>
      <c r="AO51" s="95">
        <v>31</v>
      </c>
      <c r="AP51" s="95">
        <v>32</v>
      </c>
      <c r="AQ51" s="95">
        <v>33</v>
      </c>
      <c r="AR51" s="95">
        <v>34</v>
      </c>
      <c r="AS51" s="95">
        <v>35</v>
      </c>
      <c r="AT51" s="95">
        <v>36</v>
      </c>
      <c r="AU51" s="95">
        <v>37</v>
      </c>
      <c r="AV51" s="95">
        <v>38</v>
      </c>
      <c r="AW51" s="95">
        <v>39</v>
      </c>
      <c r="AX51" s="95">
        <v>40</v>
      </c>
      <c r="AY51" s="95">
        <v>41</v>
      </c>
      <c r="AZ51" s="95">
        <v>42</v>
      </c>
      <c r="BA51" s="95">
        <v>43</v>
      </c>
      <c r="BB51" s="95">
        <v>44</v>
      </c>
      <c r="BC51" s="95">
        <v>45</v>
      </c>
      <c r="BD51" s="95">
        <v>46</v>
      </c>
      <c r="BE51" s="95">
        <v>47</v>
      </c>
      <c r="BF51" s="95">
        <v>48</v>
      </c>
      <c r="BG51" s="95">
        <v>49</v>
      </c>
      <c r="BH51" s="95">
        <v>50</v>
      </c>
      <c r="BI51" s="95">
        <v>51</v>
      </c>
      <c r="BJ51" s="95">
        <v>52</v>
      </c>
      <c r="BK51" s="95">
        <v>53</v>
      </c>
      <c r="BL51" s="95">
        <v>54</v>
      </c>
      <c r="BM51" s="95">
        <v>55</v>
      </c>
      <c r="BN51" s="95">
        <v>56</v>
      </c>
      <c r="BO51" s="95">
        <v>57</v>
      </c>
      <c r="BP51" s="95">
        <v>58</v>
      </c>
      <c r="BQ51" s="95">
        <v>59</v>
      </c>
      <c r="BR51" s="95">
        <v>60</v>
      </c>
      <c r="BS51" s="95">
        <v>61</v>
      </c>
      <c r="BT51" s="95">
        <v>62</v>
      </c>
      <c r="BU51" s="95">
        <v>63</v>
      </c>
      <c r="BV51" s="95">
        <v>64</v>
      </c>
      <c r="BW51" s="95">
        <v>65</v>
      </c>
      <c r="BX51" s="95">
        <v>66</v>
      </c>
      <c r="BY51" s="95">
        <v>67</v>
      </c>
      <c r="BZ51" s="95">
        <v>68</v>
      </c>
      <c r="CA51" s="95">
        <v>69</v>
      </c>
      <c r="CB51" s="95">
        <v>70</v>
      </c>
      <c r="CC51" s="95">
        <v>71</v>
      </c>
      <c r="CD51" s="95">
        <v>72</v>
      </c>
      <c r="CE51" s="95">
        <v>73</v>
      </c>
      <c r="CF51" s="95">
        <v>74</v>
      </c>
      <c r="CG51" s="95">
        <v>75</v>
      </c>
      <c r="CH51" s="95">
        <v>76</v>
      </c>
      <c r="CI51" s="95">
        <v>77</v>
      </c>
      <c r="CJ51" s="95">
        <v>78</v>
      </c>
      <c r="CK51" s="95">
        <v>79</v>
      </c>
      <c r="CL51" s="95">
        <v>80</v>
      </c>
      <c r="CM51" s="95">
        <v>81</v>
      </c>
      <c r="CN51" s="95">
        <v>82</v>
      </c>
      <c r="CO51" s="95">
        <v>83</v>
      </c>
      <c r="CP51" s="95">
        <v>84</v>
      </c>
      <c r="CQ51" s="95">
        <v>85</v>
      </c>
      <c r="CR51" s="95">
        <v>86</v>
      </c>
      <c r="CS51" s="95">
        <v>87</v>
      </c>
      <c r="CT51" s="95">
        <v>88</v>
      </c>
      <c r="CU51" s="95">
        <v>89</v>
      </c>
      <c r="CV51" s="95">
        <v>90</v>
      </c>
      <c r="CW51" s="95">
        <v>91</v>
      </c>
      <c r="CX51" s="95">
        <v>92</v>
      </c>
      <c r="CY51" s="95">
        <v>93</v>
      </c>
      <c r="CZ51" s="95">
        <v>94</v>
      </c>
      <c r="DA51" s="95">
        <v>95</v>
      </c>
      <c r="DB51" s="95">
        <v>96</v>
      </c>
      <c r="DC51" s="95">
        <v>97</v>
      </c>
      <c r="DD51" s="95">
        <v>98</v>
      </c>
      <c r="DE51" s="95">
        <v>99</v>
      </c>
      <c r="DF51" s="95">
        <v>100</v>
      </c>
    </row>
    <row r="52" spans="1:110" ht="18" customHeight="1">
      <c r="A52" s="397" t="s">
        <v>393</v>
      </c>
      <c r="B52" s="398"/>
      <c r="C52" s="386"/>
      <c r="D52" s="387"/>
      <c r="E52" s="399"/>
      <c r="F52" s="387"/>
      <c r="G52" s="399"/>
      <c r="H52" s="476"/>
      <c r="J52" s="97" t="s">
        <v>331</v>
      </c>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row>
    <row r="53" spans="1:110" ht="18" customHeight="1">
      <c r="A53" s="96" t="s">
        <v>332</v>
      </c>
      <c r="B53" s="97">
        <v>1</v>
      </c>
      <c r="C53" s="97" t="s">
        <v>93</v>
      </c>
      <c r="D53" s="97">
        <f>IF('Farm and Buffer Assumptions'!D55=1,F65*'Farm and Buffer Assumptions'!D38,0)</f>
        <v>0</v>
      </c>
      <c r="E53" s="139">
        <v>1</v>
      </c>
      <c r="F53" s="151">
        <f>E53*D53</f>
        <v>0</v>
      </c>
      <c r="G53" s="152">
        <f>F53</f>
        <v>0</v>
      </c>
      <c r="H53" s="211"/>
      <c r="J53" s="97" t="s">
        <v>333</v>
      </c>
      <c r="K53" s="151">
        <f>F53</f>
        <v>0</v>
      </c>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row>
    <row r="54" spans="1:110" ht="18" customHeight="1">
      <c r="A54" s="96" t="s">
        <v>334</v>
      </c>
      <c r="B54" s="97">
        <f>'Farm and Buffer Assumptions'!D41</f>
        <v>5</v>
      </c>
      <c r="C54" s="97" t="s">
        <v>93</v>
      </c>
      <c r="D54" s="97">
        <f>IF('Farm and Buffer Assumptions'!D56=1,F72*'Farm and Buffer Assumptions'!D39,0)</f>
        <v>0</v>
      </c>
      <c r="E54" s="139">
        <v>1</v>
      </c>
      <c r="F54" s="151">
        <f>E54*D54</f>
        <v>0</v>
      </c>
      <c r="G54" s="152">
        <f>(-PV('Farm and Buffer Assumptions'!D20,B54,F54))</f>
        <v>0</v>
      </c>
      <c r="H54" s="211"/>
      <c r="J54" s="97" t="s">
        <v>335</v>
      </c>
      <c r="K54" s="97">
        <v>0</v>
      </c>
      <c r="L54" s="151">
        <f>IF(L51=($B$54+1),$F$54,IF(L51&lt;=$B$54,$F$54,0))</f>
        <v>0</v>
      </c>
      <c r="M54" s="151">
        <f aca="true" t="shared" si="17" ref="M54:BX54">IF(M51=($B$54+1),$F$54,IF(M51&lt;=$B$54,$F$54,0))</f>
        <v>0</v>
      </c>
      <c r="N54" s="151">
        <f t="shared" si="17"/>
        <v>0</v>
      </c>
      <c r="O54" s="151">
        <f t="shared" si="17"/>
        <v>0</v>
      </c>
      <c r="P54" s="151">
        <f t="shared" si="17"/>
        <v>0</v>
      </c>
      <c r="Q54" s="151">
        <f t="shared" si="17"/>
        <v>0</v>
      </c>
      <c r="R54" s="151">
        <f t="shared" si="17"/>
        <v>0</v>
      </c>
      <c r="S54" s="151">
        <f t="shared" si="17"/>
        <v>0</v>
      </c>
      <c r="T54" s="151">
        <f t="shared" si="17"/>
        <v>0</v>
      </c>
      <c r="U54" s="151">
        <f t="shared" si="17"/>
        <v>0</v>
      </c>
      <c r="V54" s="151">
        <f t="shared" si="17"/>
        <v>0</v>
      </c>
      <c r="W54" s="151">
        <f t="shared" si="17"/>
        <v>0</v>
      </c>
      <c r="X54" s="151">
        <f t="shared" si="17"/>
        <v>0</v>
      </c>
      <c r="Y54" s="151">
        <f t="shared" si="17"/>
        <v>0</v>
      </c>
      <c r="Z54" s="151">
        <f t="shared" si="17"/>
        <v>0</v>
      </c>
      <c r="AA54" s="151">
        <f t="shared" si="17"/>
        <v>0</v>
      </c>
      <c r="AB54" s="151">
        <f t="shared" si="17"/>
        <v>0</v>
      </c>
      <c r="AC54" s="151">
        <f t="shared" si="17"/>
        <v>0</v>
      </c>
      <c r="AD54" s="151">
        <f t="shared" si="17"/>
        <v>0</v>
      </c>
      <c r="AE54" s="151">
        <f t="shared" si="17"/>
        <v>0</v>
      </c>
      <c r="AF54" s="151">
        <f t="shared" si="17"/>
        <v>0</v>
      </c>
      <c r="AG54" s="151">
        <f t="shared" si="17"/>
        <v>0</v>
      </c>
      <c r="AH54" s="151">
        <f t="shared" si="17"/>
        <v>0</v>
      </c>
      <c r="AI54" s="151">
        <f t="shared" si="17"/>
        <v>0</v>
      </c>
      <c r="AJ54" s="151">
        <f t="shared" si="17"/>
        <v>0</v>
      </c>
      <c r="AK54" s="151">
        <f t="shared" si="17"/>
        <v>0</v>
      </c>
      <c r="AL54" s="151">
        <f t="shared" si="17"/>
        <v>0</v>
      </c>
      <c r="AM54" s="151">
        <f t="shared" si="17"/>
        <v>0</v>
      </c>
      <c r="AN54" s="151">
        <f t="shared" si="17"/>
        <v>0</v>
      </c>
      <c r="AO54" s="151">
        <f t="shared" si="17"/>
        <v>0</v>
      </c>
      <c r="AP54" s="151">
        <f t="shared" si="17"/>
        <v>0</v>
      </c>
      <c r="AQ54" s="151">
        <f t="shared" si="17"/>
        <v>0</v>
      </c>
      <c r="AR54" s="151">
        <f t="shared" si="17"/>
        <v>0</v>
      </c>
      <c r="AS54" s="151">
        <f t="shared" si="17"/>
        <v>0</v>
      </c>
      <c r="AT54" s="151">
        <f t="shared" si="17"/>
        <v>0</v>
      </c>
      <c r="AU54" s="151">
        <f t="shared" si="17"/>
        <v>0</v>
      </c>
      <c r="AV54" s="151">
        <f t="shared" si="17"/>
        <v>0</v>
      </c>
      <c r="AW54" s="151">
        <f t="shared" si="17"/>
        <v>0</v>
      </c>
      <c r="AX54" s="151">
        <f t="shared" si="17"/>
        <v>0</v>
      </c>
      <c r="AY54" s="151">
        <f t="shared" si="17"/>
        <v>0</v>
      </c>
      <c r="AZ54" s="151">
        <f t="shared" si="17"/>
        <v>0</v>
      </c>
      <c r="BA54" s="151">
        <f t="shared" si="17"/>
        <v>0</v>
      </c>
      <c r="BB54" s="151">
        <f t="shared" si="17"/>
        <v>0</v>
      </c>
      <c r="BC54" s="151">
        <f t="shared" si="17"/>
        <v>0</v>
      </c>
      <c r="BD54" s="151">
        <f t="shared" si="17"/>
        <v>0</v>
      </c>
      <c r="BE54" s="151">
        <f t="shared" si="17"/>
        <v>0</v>
      </c>
      <c r="BF54" s="151">
        <f t="shared" si="17"/>
        <v>0</v>
      </c>
      <c r="BG54" s="151">
        <f t="shared" si="17"/>
        <v>0</v>
      </c>
      <c r="BH54" s="151">
        <f t="shared" si="17"/>
        <v>0</v>
      </c>
      <c r="BI54" s="151">
        <f t="shared" si="17"/>
        <v>0</v>
      </c>
      <c r="BJ54" s="151">
        <f t="shared" si="17"/>
        <v>0</v>
      </c>
      <c r="BK54" s="151">
        <f t="shared" si="17"/>
        <v>0</v>
      </c>
      <c r="BL54" s="151">
        <f t="shared" si="17"/>
        <v>0</v>
      </c>
      <c r="BM54" s="151">
        <f t="shared" si="17"/>
        <v>0</v>
      </c>
      <c r="BN54" s="151">
        <f t="shared" si="17"/>
        <v>0</v>
      </c>
      <c r="BO54" s="151">
        <f t="shared" si="17"/>
        <v>0</v>
      </c>
      <c r="BP54" s="151">
        <f t="shared" si="17"/>
        <v>0</v>
      </c>
      <c r="BQ54" s="151">
        <f t="shared" si="17"/>
        <v>0</v>
      </c>
      <c r="BR54" s="151">
        <f t="shared" si="17"/>
        <v>0</v>
      </c>
      <c r="BS54" s="151">
        <f t="shared" si="17"/>
        <v>0</v>
      </c>
      <c r="BT54" s="151">
        <f t="shared" si="17"/>
        <v>0</v>
      </c>
      <c r="BU54" s="151">
        <f t="shared" si="17"/>
        <v>0</v>
      </c>
      <c r="BV54" s="151">
        <f t="shared" si="17"/>
        <v>0</v>
      </c>
      <c r="BW54" s="151">
        <f t="shared" si="17"/>
        <v>0</v>
      </c>
      <c r="BX54" s="151">
        <f t="shared" si="17"/>
        <v>0</v>
      </c>
      <c r="BY54" s="151">
        <f aca="true" t="shared" si="18" ref="BY54:DF54">IF(BY51=($B$54+1),$F$54,IF(BY51&lt;=$B$54,$F$54,0))</f>
        <v>0</v>
      </c>
      <c r="BZ54" s="151">
        <f t="shared" si="18"/>
        <v>0</v>
      </c>
      <c r="CA54" s="151">
        <f t="shared" si="18"/>
        <v>0</v>
      </c>
      <c r="CB54" s="151">
        <f t="shared" si="18"/>
        <v>0</v>
      </c>
      <c r="CC54" s="151">
        <f t="shared" si="18"/>
        <v>0</v>
      </c>
      <c r="CD54" s="151">
        <f t="shared" si="18"/>
        <v>0</v>
      </c>
      <c r="CE54" s="151">
        <f t="shared" si="18"/>
        <v>0</v>
      </c>
      <c r="CF54" s="151">
        <f t="shared" si="18"/>
        <v>0</v>
      </c>
      <c r="CG54" s="151">
        <f t="shared" si="18"/>
        <v>0</v>
      </c>
      <c r="CH54" s="151">
        <f t="shared" si="18"/>
        <v>0</v>
      </c>
      <c r="CI54" s="151">
        <f t="shared" si="18"/>
        <v>0</v>
      </c>
      <c r="CJ54" s="151">
        <f t="shared" si="18"/>
        <v>0</v>
      </c>
      <c r="CK54" s="151">
        <f t="shared" si="18"/>
        <v>0</v>
      </c>
      <c r="CL54" s="151">
        <f t="shared" si="18"/>
        <v>0</v>
      </c>
      <c r="CM54" s="151">
        <f t="shared" si="18"/>
        <v>0</v>
      </c>
      <c r="CN54" s="151">
        <f t="shared" si="18"/>
        <v>0</v>
      </c>
      <c r="CO54" s="151">
        <f t="shared" si="18"/>
        <v>0</v>
      </c>
      <c r="CP54" s="151">
        <f t="shared" si="18"/>
        <v>0</v>
      </c>
      <c r="CQ54" s="151">
        <f t="shared" si="18"/>
        <v>0</v>
      </c>
      <c r="CR54" s="151">
        <f t="shared" si="18"/>
        <v>0</v>
      </c>
      <c r="CS54" s="151">
        <f t="shared" si="18"/>
        <v>0</v>
      </c>
      <c r="CT54" s="151">
        <f t="shared" si="18"/>
        <v>0</v>
      </c>
      <c r="CU54" s="151">
        <f t="shared" si="18"/>
        <v>0</v>
      </c>
      <c r="CV54" s="151">
        <f t="shared" si="18"/>
        <v>0</v>
      </c>
      <c r="CW54" s="151">
        <f t="shared" si="18"/>
        <v>0</v>
      </c>
      <c r="CX54" s="151">
        <f t="shared" si="18"/>
        <v>0</v>
      </c>
      <c r="CY54" s="151">
        <f t="shared" si="18"/>
        <v>0</v>
      </c>
      <c r="CZ54" s="151">
        <f t="shared" si="18"/>
        <v>0</v>
      </c>
      <c r="DA54" s="151">
        <f t="shared" si="18"/>
        <v>0</v>
      </c>
      <c r="DB54" s="151">
        <f t="shared" si="18"/>
        <v>0</v>
      </c>
      <c r="DC54" s="151">
        <f t="shared" si="18"/>
        <v>0</v>
      </c>
      <c r="DD54" s="151">
        <f t="shared" si="18"/>
        <v>0</v>
      </c>
      <c r="DE54" s="151">
        <f t="shared" si="18"/>
        <v>0</v>
      </c>
      <c r="DF54" s="151">
        <f t="shared" si="18"/>
        <v>0</v>
      </c>
    </row>
    <row r="55" spans="1:110" ht="18" customHeight="1">
      <c r="A55" s="97" t="s">
        <v>336</v>
      </c>
      <c r="B55" s="97">
        <f>'Farm and Buffer Assumptions'!D35</f>
        <v>15</v>
      </c>
      <c r="C55" s="97" t="s">
        <v>93</v>
      </c>
      <c r="D55" s="97">
        <f>IF('Farm and Buffer Assumptions'!D53=1,'Buffer input prices'!D21*'Farm and Buffer Assumptions'!D36,0)</f>
        <v>0</v>
      </c>
      <c r="E55" s="139">
        <v>1</v>
      </c>
      <c r="F55" s="151">
        <f>E55*D55</f>
        <v>0</v>
      </c>
      <c r="G55" s="152">
        <f>-PV('Farm and Buffer Assumptions'!D20,B55,F55)</f>
        <v>0</v>
      </c>
      <c r="H55" s="211"/>
      <c r="J55" s="97" t="s">
        <v>337</v>
      </c>
      <c r="K55" s="151">
        <f>IF(K51&lt;=$B$55,$F$55,0)</f>
        <v>0</v>
      </c>
      <c r="L55" s="151">
        <f aca="true" t="shared" si="19" ref="L55:BW55">IF(L51&lt;=$B$55,$F$55,0)</f>
        <v>0</v>
      </c>
      <c r="M55" s="151">
        <f t="shared" si="19"/>
        <v>0</v>
      </c>
      <c r="N55" s="151">
        <f t="shared" si="19"/>
        <v>0</v>
      </c>
      <c r="O55" s="151">
        <f t="shared" si="19"/>
        <v>0</v>
      </c>
      <c r="P55" s="151">
        <f t="shared" si="19"/>
        <v>0</v>
      </c>
      <c r="Q55" s="151">
        <f t="shared" si="19"/>
        <v>0</v>
      </c>
      <c r="R55" s="151">
        <f t="shared" si="19"/>
        <v>0</v>
      </c>
      <c r="S55" s="151">
        <f t="shared" si="19"/>
        <v>0</v>
      </c>
      <c r="T55" s="151">
        <f t="shared" si="19"/>
        <v>0</v>
      </c>
      <c r="U55" s="151">
        <f t="shared" si="19"/>
        <v>0</v>
      </c>
      <c r="V55" s="151">
        <f t="shared" si="19"/>
        <v>0</v>
      </c>
      <c r="W55" s="151">
        <f t="shared" si="19"/>
        <v>0</v>
      </c>
      <c r="X55" s="151">
        <f t="shared" si="19"/>
        <v>0</v>
      </c>
      <c r="Y55" s="151">
        <f t="shared" si="19"/>
        <v>0</v>
      </c>
      <c r="Z55" s="151">
        <f t="shared" si="19"/>
        <v>0</v>
      </c>
      <c r="AA55" s="151">
        <f t="shared" si="19"/>
        <v>0</v>
      </c>
      <c r="AB55" s="151">
        <f t="shared" si="19"/>
        <v>0</v>
      </c>
      <c r="AC55" s="151">
        <f t="shared" si="19"/>
        <v>0</v>
      </c>
      <c r="AD55" s="151">
        <f t="shared" si="19"/>
        <v>0</v>
      </c>
      <c r="AE55" s="151">
        <f t="shared" si="19"/>
        <v>0</v>
      </c>
      <c r="AF55" s="151">
        <f t="shared" si="19"/>
        <v>0</v>
      </c>
      <c r="AG55" s="151">
        <f t="shared" si="19"/>
        <v>0</v>
      </c>
      <c r="AH55" s="151">
        <f t="shared" si="19"/>
        <v>0</v>
      </c>
      <c r="AI55" s="151">
        <f t="shared" si="19"/>
        <v>0</v>
      </c>
      <c r="AJ55" s="151">
        <f t="shared" si="19"/>
        <v>0</v>
      </c>
      <c r="AK55" s="151">
        <f t="shared" si="19"/>
        <v>0</v>
      </c>
      <c r="AL55" s="151">
        <f t="shared" si="19"/>
        <v>0</v>
      </c>
      <c r="AM55" s="151">
        <f t="shared" si="19"/>
        <v>0</v>
      </c>
      <c r="AN55" s="151">
        <f t="shared" si="19"/>
        <v>0</v>
      </c>
      <c r="AO55" s="151">
        <f t="shared" si="19"/>
        <v>0</v>
      </c>
      <c r="AP55" s="151">
        <f t="shared" si="19"/>
        <v>0</v>
      </c>
      <c r="AQ55" s="151">
        <f t="shared" si="19"/>
        <v>0</v>
      </c>
      <c r="AR55" s="151">
        <f t="shared" si="19"/>
        <v>0</v>
      </c>
      <c r="AS55" s="151">
        <f t="shared" si="19"/>
        <v>0</v>
      </c>
      <c r="AT55" s="151">
        <f t="shared" si="19"/>
        <v>0</v>
      </c>
      <c r="AU55" s="151">
        <f t="shared" si="19"/>
        <v>0</v>
      </c>
      <c r="AV55" s="151">
        <f t="shared" si="19"/>
        <v>0</v>
      </c>
      <c r="AW55" s="151">
        <f t="shared" si="19"/>
        <v>0</v>
      </c>
      <c r="AX55" s="151">
        <f t="shared" si="19"/>
        <v>0</v>
      </c>
      <c r="AY55" s="151">
        <f t="shared" si="19"/>
        <v>0</v>
      </c>
      <c r="AZ55" s="151">
        <f t="shared" si="19"/>
        <v>0</v>
      </c>
      <c r="BA55" s="151">
        <f t="shared" si="19"/>
        <v>0</v>
      </c>
      <c r="BB55" s="151">
        <f t="shared" si="19"/>
        <v>0</v>
      </c>
      <c r="BC55" s="151">
        <f t="shared" si="19"/>
        <v>0</v>
      </c>
      <c r="BD55" s="151">
        <f t="shared" si="19"/>
        <v>0</v>
      </c>
      <c r="BE55" s="151">
        <f t="shared" si="19"/>
        <v>0</v>
      </c>
      <c r="BF55" s="151">
        <f t="shared" si="19"/>
        <v>0</v>
      </c>
      <c r="BG55" s="151">
        <f t="shared" si="19"/>
        <v>0</v>
      </c>
      <c r="BH55" s="151">
        <f t="shared" si="19"/>
        <v>0</v>
      </c>
      <c r="BI55" s="151">
        <f t="shared" si="19"/>
        <v>0</v>
      </c>
      <c r="BJ55" s="151">
        <f t="shared" si="19"/>
        <v>0</v>
      </c>
      <c r="BK55" s="151">
        <f t="shared" si="19"/>
        <v>0</v>
      </c>
      <c r="BL55" s="151">
        <f t="shared" si="19"/>
        <v>0</v>
      </c>
      <c r="BM55" s="151">
        <f t="shared" si="19"/>
        <v>0</v>
      </c>
      <c r="BN55" s="151">
        <f t="shared" si="19"/>
        <v>0</v>
      </c>
      <c r="BO55" s="151">
        <f t="shared" si="19"/>
        <v>0</v>
      </c>
      <c r="BP55" s="151">
        <f t="shared" si="19"/>
        <v>0</v>
      </c>
      <c r="BQ55" s="151">
        <f t="shared" si="19"/>
        <v>0</v>
      </c>
      <c r="BR55" s="151">
        <f t="shared" si="19"/>
        <v>0</v>
      </c>
      <c r="BS55" s="151">
        <f t="shared" si="19"/>
        <v>0</v>
      </c>
      <c r="BT55" s="151">
        <f t="shared" si="19"/>
        <v>0</v>
      </c>
      <c r="BU55" s="151">
        <f t="shared" si="19"/>
        <v>0</v>
      </c>
      <c r="BV55" s="151">
        <f t="shared" si="19"/>
        <v>0</v>
      </c>
      <c r="BW55" s="151">
        <f t="shared" si="19"/>
        <v>0</v>
      </c>
      <c r="BX55" s="151">
        <f aca="true" t="shared" si="20" ref="BX55:DF55">IF(BX51&lt;=$B$55,$F$55,0)</f>
        <v>0</v>
      </c>
      <c r="BY55" s="151">
        <f t="shared" si="20"/>
        <v>0</v>
      </c>
      <c r="BZ55" s="151">
        <f t="shared" si="20"/>
        <v>0</v>
      </c>
      <c r="CA55" s="151">
        <f t="shared" si="20"/>
        <v>0</v>
      </c>
      <c r="CB55" s="151">
        <f t="shared" si="20"/>
        <v>0</v>
      </c>
      <c r="CC55" s="151">
        <f t="shared" si="20"/>
        <v>0</v>
      </c>
      <c r="CD55" s="151">
        <f t="shared" si="20"/>
        <v>0</v>
      </c>
      <c r="CE55" s="151">
        <f t="shared" si="20"/>
        <v>0</v>
      </c>
      <c r="CF55" s="151">
        <f t="shared" si="20"/>
        <v>0</v>
      </c>
      <c r="CG55" s="151">
        <f t="shared" si="20"/>
        <v>0</v>
      </c>
      <c r="CH55" s="151">
        <f t="shared" si="20"/>
        <v>0</v>
      </c>
      <c r="CI55" s="151">
        <f t="shared" si="20"/>
        <v>0</v>
      </c>
      <c r="CJ55" s="151">
        <f t="shared" si="20"/>
        <v>0</v>
      </c>
      <c r="CK55" s="151">
        <f t="shared" si="20"/>
        <v>0</v>
      </c>
      <c r="CL55" s="151">
        <f t="shared" si="20"/>
        <v>0</v>
      </c>
      <c r="CM55" s="151">
        <f t="shared" si="20"/>
        <v>0</v>
      </c>
      <c r="CN55" s="151">
        <f t="shared" si="20"/>
        <v>0</v>
      </c>
      <c r="CO55" s="151">
        <f t="shared" si="20"/>
        <v>0</v>
      </c>
      <c r="CP55" s="151">
        <f t="shared" si="20"/>
        <v>0</v>
      </c>
      <c r="CQ55" s="151">
        <f t="shared" si="20"/>
        <v>0</v>
      </c>
      <c r="CR55" s="151">
        <f t="shared" si="20"/>
        <v>0</v>
      </c>
      <c r="CS55" s="151">
        <f t="shared" si="20"/>
        <v>0</v>
      </c>
      <c r="CT55" s="151">
        <f t="shared" si="20"/>
        <v>0</v>
      </c>
      <c r="CU55" s="151">
        <f t="shared" si="20"/>
        <v>0</v>
      </c>
      <c r="CV55" s="151">
        <f t="shared" si="20"/>
        <v>0</v>
      </c>
      <c r="CW55" s="151">
        <f t="shared" si="20"/>
        <v>0</v>
      </c>
      <c r="CX55" s="151">
        <f t="shared" si="20"/>
        <v>0</v>
      </c>
      <c r="CY55" s="151">
        <f t="shared" si="20"/>
        <v>0</v>
      </c>
      <c r="CZ55" s="151">
        <f t="shared" si="20"/>
        <v>0</v>
      </c>
      <c r="DA55" s="151">
        <f t="shared" si="20"/>
        <v>0</v>
      </c>
      <c r="DB55" s="151">
        <f t="shared" si="20"/>
        <v>0</v>
      </c>
      <c r="DC55" s="151">
        <f t="shared" si="20"/>
        <v>0</v>
      </c>
      <c r="DD55" s="151">
        <f t="shared" si="20"/>
        <v>0</v>
      </c>
      <c r="DE55" s="151">
        <f t="shared" si="20"/>
        <v>0</v>
      </c>
      <c r="DF55" s="151">
        <f t="shared" si="20"/>
        <v>0</v>
      </c>
    </row>
    <row r="56" spans="1:110" ht="18" customHeight="1">
      <c r="A56" s="97" t="s">
        <v>338</v>
      </c>
      <c r="B56" s="97">
        <v>1</v>
      </c>
      <c r="C56" s="97" t="s">
        <v>93</v>
      </c>
      <c r="D56" s="97">
        <f>IF('Farm and Buffer Assumptions'!D54=1,'Farm and Buffer Assumptions'!D37,0)</f>
        <v>0</v>
      </c>
      <c r="E56" s="139">
        <v>1</v>
      </c>
      <c r="F56" s="151">
        <f>E56*D56</f>
        <v>0</v>
      </c>
      <c r="G56" s="152">
        <f>F56</f>
        <v>0</v>
      </c>
      <c r="H56" s="211"/>
      <c r="J56" s="97" t="s">
        <v>339</v>
      </c>
      <c r="K56" s="151">
        <f>F56</f>
        <v>0</v>
      </c>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row>
    <row r="57" spans="1:110" ht="18" customHeight="1">
      <c r="A57" s="96" t="s">
        <v>373</v>
      </c>
      <c r="B57" s="96">
        <v>99</v>
      </c>
      <c r="C57" s="96" t="s">
        <v>90</v>
      </c>
      <c r="D57" s="121">
        <f>'Buffer input prices'!D26</f>
        <v>114</v>
      </c>
      <c r="E57" s="121">
        <f>'Farm and Buffer Assumptions'!D21</f>
        <v>2.4</v>
      </c>
      <c r="F57" s="120">
        <f>E57*D57</f>
        <v>273.59999999999997</v>
      </c>
      <c r="G57" s="192">
        <f>(F57/'Farm and Buffer Assumptions'!D20)</f>
        <v>6839.999999999999</v>
      </c>
      <c r="H57" s="211"/>
      <c r="J57" s="96" t="s">
        <v>374</v>
      </c>
      <c r="K57" s="151">
        <f>$F$57</f>
        <v>273.59999999999997</v>
      </c>
      <c r="L57" s="151">
        <f>$F$57</f>
        <v>273.59999999999997</v>
      </c>
      <c r="M57" s="151">
        <f aca="true" t="shared" si="21" ref="M57:BX57">$F$57</f>
        <v>273.59999999999997</v>
      </c>
      <c r="N57" s="151">
        <f t="shared" si="21"/>
        <v>273.59999999999997</v>
      </c>
      <c r="O57" s="151">
        <f t="shared" si="21"/>
        <v>273.59999999999997</v>
      </c>
      <c r="P57" s="151">
        <f t="shared" si="21"/>
        <v>273.59999999999997</v>
      </c>
      <c r="Q57" s="151">
        <f t="shared" si="21"/>
        <v>273.59999999999997</v>
      </c>
      <c r="R57" s="151">
        <f t="shared" si="21"/>
        <v>273.59999999999997</v>
      </c>
      <c r="S57" s="151">
        <f t="shared" si="21"/>
        <v>273.59999999999997</v>
      </c>
      <c r="T57" s="151">
        <f t="shared" si="21"/>
        <v>273.59999999999997</v>
      </c>
      <c r="U57" s="151">
        <f t="shared" si="21"/>
        <v>273.59999999999997</v>
      </c>
      <c r="V57" s="151">
        <f t="shared" si="21"/>
        <v>273.59999999999997</v>
      </c>
      <c r="W57" s="151">
        <f t="shared" si="21"/>
        <v>273.59999999999997</v>
      </c>
      <c r="X57" s="151">
        <f t="shared" si="21"/>
        <v>273.59999999999997</v>
      </c>
      <c r="Y57" s="151">
        <f t="shared" si="21"/>
        <v>273.59999999999997</v>
      </c>
      <c r="Z57" s="151">
        <f t="shared" si="21"/>
        <v>273.59999999999997</v>
      </c>
      <c r="AA57" s="151">
        <f t="shared" si="21"/>
        <v>273.59999999999997</v>
      </c>
      <c r="AB57" s="151">
        <f t="shared" si="21"/>
        <v>273.59999999999997</v>
      </c>
      <c r="AC57" s="151">
        <f t="shared" si="21"/>
        <v>273.59999999999997</v>
      </c>
      <c r="AD57" s="151">
        <f t="shared" si="21"/>
        <v>273.59999999999997</v>
      </c>
      <c r="AE57" s="151">
        <f t="shared" si="21"/>
        <v>273.59999999999997</v>
      </c>
      <c r="AF57" s="151">
        <f t="shared" si="21"/>
        <v>273.59999999999997</v>
      </c>
      <c r="AG57" s="151">
        <f t="shared" si="21"/>
        <v>273.59999999999997</v>
      </c>
      <c r="AH57" s="151">
        <f t="shared" si="21"/>
        <v>273.59999999999997</v>
      </c>
      <c r="AI57" s="151">
        <f t="shared" si="21"/>
        <v>273.59999999999997</v>
      </c>
      <c r="AJ57" s="151">
        <f t="shared" si="21"/>
        <v>273.59999999999997</v>
      </c>
      <c r="AK57" s="151">
        <f t="shared" si="21"/>
        <v>273.59999999999997</v>
      </c>
      <c r="AL57" s="151">
        <f t="shared" si="21"/>
        <v>273.59999999999997</v>
      </c>
      <c r="AM57" s="151">
        <f t="shared" si="21"/>
        <v>273.59999999999997</v>
      </c>
      <c r="AN57" s="151">
        <f t="shared" si="21"/>
        <v>273.59999999999997</v>
      </c>
      <c r="AO57" s="151">
        <f t="shared" si="21"/>
        <v>273.59999999999997</v>
      </c>
      <c r="AP57" s="151">
        <f t="shared" si="21"/>
        <v>273.59999999999997</v>
      </c>
      <c r="AQ57" s="151">
        <f t="shared" si="21"/>
        <v>273.59999999999997</v>
      </c>
      <c r="AR57" s="151">
        <f t="shared" si="21"/>
        <v>273.59999999999997</v>
      </c>
      <c r="AS57" s="151">
        <f t="shared" si="21"/>
        <v>273.59999999999997</v>
      </c>
      <c r="AT57" s="151">
        <f t="shared" si="21"/>
        <v>273.59999999999997</v>
      </c>
      <c r="AU57" s="151">
        <f t="shared" si="21"/>
        <v>273.59999999999997</v>
      </c>
      <c r="AV57" s="151">
        <f t="shared" si="21"/>
        <v>273.59999999999997</v>
      </c>
      <c r="AW57" s="151">
        <f t="shared" si="21"/>
        <v>273.59999999999997</v>
      </c>
      <c r="AX57" s="151">
        <f t="shared" si="21"/>
        <v>273.59999999999997</v>
      </c>
      <c r="AY57" s="151">
        <f t="shared" si="21"/>
        <v>273.59999999999997</v>
      </c>
      <c r="AZ57" s="151">
        <f t="shared" si="21"/>
        <v>273.59999999999997</v>
      </c>
      <c r="BA57" s="151">
        <f t="shared" si="21"/>
        <v>273.59999999999997</v>
      </c>
      <c r="BB57" s="151">
        <f t="shared" si="21"/>
        <v>273.59999999999997</v>
      </c>
      <c r="BC57" s="151">
        <f t="shared" si="21"/>
        <v>273.59999999999997</v>
      </c>
      <c r="BD57" s="151">
        <f t="shared" si="21"/>
        <v>273.59999999999997</v>
      </c>
      <c r="BE57" s="151">
        <f t="shared" si="21"/>
        <v>273.59999999999997</v>
      </c>
      <c r="BF57" s="151">
        <f t="shared" si="21"/>
        <v>273.59999999999997</v>
      </c>
      <c r="BG57" s="151">
        <f t="shared" si="21"/>
        <v>273.59999999999997</v>
      </c>
      <c r="BH57" s="151">
        <f t="shared" si="21"/>
        <v>273.59999999999997</v>
      </c>
      <c r="BI57" s="151">
        <f t="shared" si="21"/>
        <v>273.59999999999997</v>
      </c>
      <c r="BJ57" s="151">
        <f t="shared" si="21"/>
        <v>273.59999999999997</v>
      </c>
      <c r="BK57" s="151">
        <f t="shared" si="21"/>
        <v>273.59999999999997</v>
      </c>
      <c r="BL57" s="151">
        <f t="shared" si="21"/>
        <v>273.59999999999997</v>
      </c>
      <c r="BM57" s="151">
        <f t="shared" si="21"/>
        <v>273.59999999999997</v>
      </c>
      <c r="BN57" s="151">
        <f t="shared" si="21"/>
        <v>273.59999999999997</v>
      </c>
      <c r="BO57" s="151">
        <f t="shared" si="21"/>
        <v>273.59999999999997</v>
      </c>
      <c r="BP57" s="151">
        <f t="shared" si="21"/>
        <v>273.59999999999997</v>
      </c>
      <c r="BQ57" s="151">
        <f t="shared" si="21"/>
        <v>273.59999999999997</v>
      </c>
      <c r="BR57" s="151">
        <f t="shared" si="21"/>
        <v>273.59999999999997</v>
      </c>
      <c r="BS57" s="151">
        <f t="shared" si="21"/>
        <v>273.59999999999997</v>
      </c>
      <c r="BT57" s="151">
        <f t="shared" si="21"/>
        <v>273.59999999999997</v>
      </c>
      <c r="BU57" s="151">
        <f t="shared" si="21"/>
        <v>273.59999999999997</v>
      </c>
      <c r="BV57" s="151">
        <f t="shared" si="21"/>
        <v>273.59999999999997</v>
      </c>
      <c r="BW57" s="151">
        <f t="shared" si="21"/>
        <v>273.59999999999997</v>
      </c>
      <c r="BX57" s="151">
        <f t="shared" si="21"/>
        <v>273.59999999999997</v>
      </c>
      <c r="BY57" s="151">
        <f aca="true" t="shared" si="22" ref="BY57:DF57">$F$57</f>
        <v>273.59999999999997</v>
      </c>
      <c r="BZ57" s="151">
        <f t="shared" si="22"/>
        <v>273.59999999999997</v>
      </c>
      <c r="CA57" s="151">
        <f t="shared" si="22"/>
        <v>273.59999999999997</v>
      </c>
      <c r="CB57" s="151">
        <f t="shared" si="22"/>
        <v>273.59999999999997</v>
      </c>
      <c r="CC57" s="151">
        <f t="shared" si="22"/>
        <v>273.59999999999997</v>
      </c>
      <c r="CD57" s="151">
        <f t="shared" si="22"/>
        <v>273.59999999999997</v>
      </c>
      <c r="CE57" s="151">
        <f t="shared" si="22"/>
        <v>273.59999999999997</v>
      </c>
      <c r="CF57" s="151">
        <f t="shared" si="22"/>
        <v>273.59999999999997</v>
      </c>
      <c r="CG57" s="151">
        <f t="shared" si="22"/>
        <v>273.59999999999997</v>
      </c>
      <c r="CH57" s="151">
        <f t="shared" si="22"/>
        <v>273.59999999999997</v>
      </c>
      <c r="CI57" s="151">
        <f t="shared" si="22"/>
        <v>273.59999999999997</v>
      </c>
      <c r="CJ57" s="151">
        <f t="shared" si="22"/>
        <v>273.59999999999997</v>
      </c>
      <c r="CK57" s="151">
        <f t="shared" si="22"/>
        <v>273.59999999999997</v>
      </c>
      <c r="CL57" s="151">
        <f t="shared" si="22"/>
        <v>273.59999999999997</v>
      </c>
      <c r="CM57" s="151">
        <f t="shared" si="22"/>
        <v>273.59999999999997</v>
      </c>
      <c r="CN57" s="151">
        <f t="shared" si="22"/>
        <v>273.59999999999997</v>
      </c>
      <c r="CO57" s="151">
        <f t="shared" si="22"/>
        <v>273.59999999999997</v>
      </c>
      <c r="CP57" s="151">
        <f t="shared" si="22"/>
        <v>273.59999999999997</v>
      </c>
      <c r="CQ57" s="151">
        <f t="shared" si="22"/>
        <v>273.59999999999997</v>
      </c>
      <c r="CR57" s="151">
        <f t="shared" si="22"/>
        <v>273.59999999999997</v>
      </c>
      <c r="CS57" s="151">
        <f t="shared" si="22"/>
        <v>273.59999999999997</v>
      </c>
      <c r="CT57" s="151">
        <f t="shared" si="22"/>
        <v>273.59999999999997</v>
      </c>
      <c r="CU57" s="151">
        <f t="shared" si="22"/>
        <v>273.59999999999997</v>
      </c>
      <c r="CV57" s="151">
        <f t="shared" si="22"/>
        <v>273.59999999999997</v>
      </c>
      <c r="CW57" s="151">
        <f t="shared" si="22"/>
        <v>273.59999999999997</v>
      </c>
      <c r="CX57" s="151">
        <f t="shared" si="22"/>
        <v>273.59999999999997</v>
      </c>
      <c r="CY57" s="151">
        <f t="shared" si="22"/>
        <v>273.59999999999997</v>
      </c>
      <c r="CZ57" s="151">
        <f t="shared" si="22"/>
        <v>273.59999999999997</v>
      </c>
      <c r="DA57" s="151">
        <f t="shared" si="22"/>
        <v>273.59999999999997</v>
      </c>
      <c r="DB57" s="151">
        <f t="shared" si="22"/>
        <v>273.59999999999997</v>
      </c>
      <c r="DC57" s="151">
        <f t="shared" si="22"/>
        <v>273.59999999999997</v>
      </c>
      <c r="DD57" s="151">
        <f t="shared" si="22"/>
        <v>273.59999999999997</v>
      </c>
      <c r="DE57" s="151">
        <f t="shared" si="22"/>
        <v>273.59999999999997</v>
      </c>
      <c r="DF57" s="151">
        <f t="shared" si="22"/>
        <v>273.59999999999997</v>
      </c>
    </row>
    <row r="58" spans="1:110" ht="18" customHeight="1">
      <c r="A58" s="194" t="s">
        <v>375</v>
      </c>
      <c r="B58" s="194"/>
      <c r="C58" s="195"/>
      <c r="D58" s="195"/>
      <c r="E58" s="195"/>
      <c r="F58" s="196">
        <f>SUM(F53:F57)</f>
        <v>273.59999999999997</v>
      </c>
      <c r="G58" s="197">
        <f>SUM(G53:G57)</f>
        <v>6839.999999999999</v>
      </c>
      <c r="H58" s="209"/>
      <c r="J58" s="97" t="s">
        <v>341</v>
      </c>
      <c r="K58" s="151">
        <f>F65</f>
        <v>1120</v>
      </c>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row>
    <row r="59" spans="1:110" ht="28.5" customHeight="1">
      <c r="A59" s="1"/>
      <c r="B59" s="1"/>
      <c r="C59" s="1"/>
      <c r="D59" s="1"/>
      <c r="E59" s="1"/>
      <c r="F59" s="2"/>
      <c r="G59" s="198"/>
      <c r="H59" s="211"/>
      <c r="J59" s="96" t="s">
        <v>376</v>
      </c>
      <c r="K59" s="97">
        <v>0</v>
      </c>
      <c r="L59" s="151">
        <f>SUM($F$68:$F$69)</f>
        <v>186</v>
      </c>
      <c r="M59" s="151">
        <f aca="true" t="shared" si="23" ref="M59:BY59">SUM($F$68:$F$69)</f>
        <v>186</v>
      </c>
      <c r="N59" s="151">
        <f t="shared" si="23"/>
        <v>186</v>
      </c>
      <c r="O59" s="151">
        <f t="shared" si="23"/>
        <v>186</v>
      </c>
      <c r="P59" s="151">
        <f>SUM($F$68:$F$71)</f>
        <v>266</v>
      </c>
      <c r="Q59" s="151">
        <f t="shared" si="23"/>
        <v>186</v>
      </c>
      <c r="R59" s="151">
        <f t="shared" si="23"/>
        <v>186</v>
      </c>
      <c r="S59" s="151">
        <f t="shared" si="23"/>
        <v>186</v>
      </c>
      <c r="T59" s="151">
        <f t="shared" si="23"/>
        <v>186</v>
      </c>
      <c r="U59" s="151">
        <f>SUM($F$68:$F$71)</f>
        <v>266</v>
      </c>
      <c r="V59" s="151">
        <f t="shared" si="23"/>
        <v>186</v>
      </c>
      <c r="W59" s="151">
        <f t="shared" si="23"/>
        <v>186</v>
      </c>
      <c r="X59" s="151">
        <f t="shared" si="23"/>
        <v>186</v>
      </c>
      <c r="Y59" s="151">
        <f t="shared" si="23"/>
        <v>186</v>
      </c>
      <c r="Z59" s="151">
        <f>SUM($F$68:$F$71)</f>
        <v>266</v>
      </c>
      <c r="AA59" s="151">
        <f t="shared" si="23"/>
        <v>186</v>
      </c>
      <c r="AB59" s="151">
        <f t="shared" si="23"/>
        <v>186</v>
      </c>
      <c r="AC59" s="151">
        <f t="shared" si="23"/>
        <v>186</v>
      </c>
      <c r="AD59" s="151">
        <f t="shared" si="23"/>
        <v>186</v>
      </c>
      <c r="AE59" s="151">
        <f>SUM($F$68:$F$71)</f>
        <v>266</v>
      </c>
      <c r="AF59" s="151">
        <f t="shared" si="23"/>
        <v>186</v>
      </c>
      <c r="AG59" s="151">
        <f t="shared" si="23"/>
        <v>186</v>
      </c>
      <c r="AH59" s="151">
        <f t="shared" si="23"/>
        <v>186</v>
      </c>
      <c r="AI59" s="151">
        <f t="shared" si="23"/>
        <v>186</v>
      </c>
      <c r="AJ59" s="151">
        <f>SUM($F$68:$F$71)</f>
        <v>266</v>
      </c>
      <c r="AK59" s="151">
        <f t="shared" si="23"/>
        <v>186</v>
      </c>
      <c r="AL59" s="151">
        <f t="shared" si="23"/>
        <v>186</v>
      </c>
      <c r="AM59" s="151">
        <f t="shared" si="23"/>
        <v>186</v>
      </c>
      <c r="AN59" s="151">
        <f t="shared" si="23"/>
        <v>186</v>
      </c>
      <c r="AO59" s="151">
        <f>SUM($F$68:$F$71)</f>
        <v>266</v>
      </c>
      <c r="AP59" s="151">
        <f t="shared" si="23"/>
        <v>186</v>
      </c>
      <c r="AQ59" s="151">
        <f t="shared" si="23"/>
        <v>186</v>
      </c>
      <c r="AR59" s="151">
        <f t="shared" si="23"/>
        <v>186</v>
      </c>
      <c r="AS59" s="151">
        <f t="shared" si="23"/>
        <v>186</v>
      </c>
      <c r="AT59" s="151">
        <f>SUM($F$68:$F$71)</f>
        <v>266</v>
      </c>
      <c r="AU59" s="151">
        <f t="shared" si="23"/>
        <v>186</v>
      </c>
      <c r="AV59" s="151">
        <f t="shared" si="23"/>
        <v>186</v>
      </c>
      <c r="AW59" s="151">
        <f t="shared" si="23"/>
        <v>186</v>
      </c>
      <c r="AX59" s="151">
        <f t="shared" si="23"/>
        <v>186</v>
      </c>
      <c r="AY59" s="151">
        <f>SUM($F$68:$F$71)</f>
        <v>266</v>
      </c>
      <c r="AZ59" s="151">
        <f t="shared" si="23"/>
        <v>186</v>
      </c>
      <c r="BA59" s="151">
        <f t="shared" si="23"/>
        <v>186</v>
      </c>
      <c r="BB59" s="151">
        <f t="shared" si="23"/>
        <v>186</v>
      </c>
      <c r="BC59" s="151">
        <f t="shared" si="23"/>
        <v>186</v>
      </c>
      <c r="BD59" s="151">
        <f>SUM($F$68:$F$71)</f>
        <v>266</v>
      </c>
      <c r="BE59" s="151">
        <f t="shared" si="23"/>
        <v>186</v>
      </c>
      <c r="BF59" s="151">
        <f t="shared" si="23"/>
        <v>186</v>
      </c>
      <c r="BG59" s="151">
        <f t="shared" si="23"/>
        <v>186</v>
      </c>
      <c r="BH59" s="151">
        <f t="shared" si="23"/>
        <v>186</v>
      </c>
      <c r="BI59" s="151">
        <f>SUM($F$68:$F$71)</f>
        <v>266</v>
      </c>
      <c r="BJ59" s="151">
        <f t="shared" si="23"/>
        <v>186</v>
      </c>
      <c r="BK59" s="151">
        <f t="shared" si="23"/>
        <v>186</v>
      </c>
      <c r="BL59" s="151">
        <f t="shared" si="23"/>
        <v>186</v>
      </c>
      <c r="BM59" s="151">
        <f t="shared" si="23"/>
        <v>186</v>
      </c>
      <c r="BN59" s="151">
        <f>SUM($F$68:$F$71)</f>
        <v>266</v>
      </c>
      <c r="BO59" s="151">
        <f t="shared" si="23"/>
        <v>186</v>
      </c>
      <c r="BP59" s="151">
        <f t="shared" si="23"/>
        <v>186</v>
      </c>
      <c r="BQ59" s="151">
        <f t="shared" si="23"/>
        <v>186</v>
      </c>
      <c r="BR59" s="151">
        <f t="shared" si="23"/>
        <v>186</v>
      </c>
      <c r="BS59" s="151">
        <f>SUM($F$68:$F$71)</f>
        <v>266</v>
      </c>
      <c r="BT59" s="151">
        <f t="shared" si="23"/>
        <v>186</v>
      </c>
      <c r="BU59" s="151">
        <f t="shared" si="23"/>
        <v>186</v>
      </c>
      <c r="BV59" s="151">
        <f t="shared" si="23"/>
        <v>186</v>
      </c>
      <c r="BW59" s="151">
        <f t="shared" si="23"/>
        <v>186</v>
      </c>
      <c r="BX59" s="151">
        <f>SUM($F$68:$F$71)</f>
        <v>266</v>
      </c>
      <c r="BY59" s="151">
        <f t="shared" si="23"/>
        <v>186</v>
      </c>
      <c r="BZ59" s="151">
        <f>SUM($F$68:$F$69)</f>
        <v>186</v>
      </c>
      <c r="CA59" s="151">
        <f>SUM($F$68:$F$69)</f>
        <v>186</v>
      </c>
      <c r="CB59" s="151">
        <f>SUM($F$68:$F$69)</f>
        <v>186</v>
      </c>
      <c r="CC59" s="151">
        <f>SUM($F$68:$F$71)</f>
        <v>266</v>
      </c>
      <c r="CD59" s="151">
        <f>SUM($F$68:$F$69)</f>
        <v>186</v>
      </c>
      <c r="CE59" s="151">
        <f>SUM($F$68:$F$69)</f>
        <v>186</v>
      </c>
      <c r="CF59" s="151">
        <f>SUM($F$68:$F$69)</f>
        <v>186</v>
      </c>
      <c r="CG59" s="151">
        <f>SUM($F$68:$F$69)</f>
        <v>186</v>
      </c>
      <c r="CH59" s="151">
        <f>SUM($F$68:$F$71)</f>
        <v>266</v>
      </c>
      <c r="CI59" s="151">
        <f>SUM($F$68:$F$69)</f>
        <v>186</v>
      </c>
      <c r="CJ59" s="151">
        <f>SUM($F$68:$F$69)</f>
        <v>186</v>
      </c>
      <c r="CK59" s="151">
        <f>SUM($F$68:$F$69)</f>
        <v>186</v>
      </c>
      <c r="CL59" s="151">
        <f>SUM($F$68:$F$69)</f>
        <v>186</v>
      </c>
      <c r="CM59" s="151">
        <f>SUM($F$68:$F$71)</f>
        <v>266</v>
      </c>
      <c r="CN59" s="151">
        <f>SUM($F$68:$F$69)</f>
        <v>186</v>
      </c>
      <c r="CO59" s="151">
        <f>SUM($F$68:$F$69)</f>
        <v>186</v>
      </c>
      <c r="CP59" s="151">
        <f>SUM($F$68:$F$69)</f>
        <v>186</v>
      </c>
      <c r="CQ59" s="151">
        <f>SUM($F$68:$F$69)</f>
        <v>186</v>
      </c>
      <c r="CR59" s="151">
        <f>SUM($F$68:$F$71)</f>
        <v>266</v>
      </c>
      <c r="CS59" s="151">
        <f>SUM($F$68:$F$69)</f>
        <v>186</v>
      </c>
      <c r="CT59" s="151">
        <f>SUM($F$68:$F$69)</f>
        <v>186</v>
      </c>
      <c r="CU59" s="151">
        <f>SUM($F$68:$F$69)</f>
        <v>186</v>
      </c>
      <c r="CV59" s="151">
        <f>SUM($F$68:$F$69)</f>
        <v>186</v>
      </c>
      <c r="CW59" s="151">
        <f>SUM($F$68:$F$71)</f>
        <v>266</v>
      </c>
      <c r="CX59" s="151">
        <f>SUM($F$68:$F$69)</f>
        <v>186</v>
      </c>
      <c r="CY59" s="151">
        <f>SUM($F$68:$F$69)</f>
        <v>186</v>
      </c>
      <c r="CZ59" s="151">
        <f>SUM($F$68:$F$69)</f>
        <v>186</v>
      </c>
      <c r="DA59" s="151">
        <f>SUM($F$68:$F$69)</f>
        <v>186</v>
      </c>
      <c r="DB59" s="151">
        <f>SUM($F$68:$F$71)</f>
        <v>266</v>
      </c>
      <c r="DC59" s="151">
        <f>SUM($F$68:$F$69)</f>
        <v>186</v>
      </c>
      <c r="DD59" s="151">
        <f>SUM($F$68:$F$69)</f>
        <v>186</v>
      </c>
      <c r="DE59" s="151">
        <f>SUM($F$68:$F$69)</f>
        <v>186</v>
      </c>
      <c r="DF59" s="151">
        <f>SUM($F$68:$F$69)</f>
        <v>186</v>
      </c>
    </row>
    <row r="60" spans="1:110" ht="24" customHeight="1">
      <c r="A60" s="382" t="s">
        <v>377</v>
      </c>
      <c r="B60" s="382"/>
      <c r="C60" s="383"/>
      <c r="D60" s="383"/>
      <c r="E60" s="383"/>
      <c r="F60" s="384"/>
      <c r="G60" s="384"/>
      <c r="H60" s="406"/>
      <c r="J60" s="190" t="s">
        <v>344</v>
      </c>
      <c r="K60" s="135">
        <f>SUM(K53:K57)-SUM(K58:K59)</f>
        <v>-846.4000000000001</v>
      </c>
      <c r="L60" s="135">
        <f aca="true" t="shared" si="24" ref="L60:BW60">SUM(L53:L57)-SUM(L58:L59)</f>
        <v>87.59999999999997</v>
      </c>
      <c r="M60" s="135">
        <f t="shared" si="24"/>
        <v>87.59999999999997</v>
      </c>
      <c r="N60" s="135">
        <f t="shared" si="24"/>
        <v>87.59999999999997</v>
      </c>
      <c r="O60" s="135">
        <f t="shared" si="24"/>
        <v>87.59999999999997</v>
      </c>
      <c r="P60" s="135">
        <f t="shared" si="24"/>
        <v>7.599999999999966</v>
      </c>
      <c r="Q60" s="135">
        <f t="shared" si="24"/>
        <v>87.59999999999997</v>
      </c>
      <c r="R60" s="135">
        <f t="shared" si="24"/>
        <v>87.59999999999997</v>
      </c>
      <c r="S60" s="135">
        <f t="shared" si="24"/>
        <v>87.59999999999997</v>
      </c>
      <c r="T60" s="135">
        <f t="shared" si="24"/>
        <v>87.59999999999997</v>
      </c>
      <c r="U60" s="135">
        <f t="shared" si="24"/>
        <v>7.599999999999966</v>
      </c>
      <c r="V60" s="135">
        <f t="shared" si="24"/>
        <v>87.59999999999997</v>
      </c>
      <c r="W60" s="135">
        <f t="shared" si="24"/>
        <v>87.59999999999997</v>
      </c>
      <c r="X60" s="135">
        <f t="shared" si="24"/>
        <v>87.59999999999997</v>
      </c>
      <c r="Y60" s="135">
        <f t="shared" si="24"/>
        <v>87.59999999999997</v>
      </c>
      <c r="Z60" s="135">
        <f t="shared" si="24"/>
        <v>7.599999999999966</v>
      </c>
      <c r="AA60" s="135">
        <f t="shared" si="24"/>
        <v>87.59999999999997</v>
      </c>
      <c r="AB60" s="135">
        <f t="shared" si="24"/>
        <v>87.59999999999997</v>
      </c>
      <c r="AC60" s="135">
        <f t="shared" si="24"/>
        <v>87.59999999999997</v>
      </c>
      <c r="AD60" s="135">
        <f t="shared" si="24"/>
        <v>87.59999999999997</v>
      </c>
      <c r="AE60" s="135">
        <f t="shared" si="24"/>
        <v>7.599999999999966</v>
      </c>
      <c r="AF60" s="135">
        <f t="shared" si="24"/>
        <v>87.59999999999997</v>
      </c>
      <c r="AG60" s="135">
        <f t="shared" si="24"/>
        <v>87.59999999999997</v>
      </c>
      <c r="AH60" s="135">
        <f t="shared" si="24"/>
        <v>87.59999999999997</v>
      </c>
      <c r="AI60" s="135">
        <f t="shared" si="24"/>
        <v>87.59999999999997</v>
      </c>
      <c r="AJ60" s="135">
        <f t="shared" si="24"/>
        <v>7.599999999999966</v>
      </c>
      <c r="AK60" s="135">
        <f t="shared" si="24"/>
        <v>87.59999999999997</v>
      </c>
      <c r="AL60" s="135">
        <f t="shared" si="24"/>
        <v>87.59999999999997</v>
      </c>
      <c r="AM60" s="135">
        <f t="shared" si="24"/>
        <v>87.59999999999997</v>
      </c>
      <c r="AN60" s="135">
        <f t="shared" si="24"/>
        <v>87.59999999999997</v>
      </c>
      <c r="AO60" s="135">
        <f t="shared" si="24"/>
        <v>7.599999999999966</v>
      </c>
      <c r="AP60" s="135">
        <f t="shared" si="24"/>
        <v>87.59999999999997</v>
      </c>
      <c r="AQ60" s="135">
        <f t="shared" si="24"/>
        <v>87.59999999999997</v>
      </c>
      <c r="AR60" s="135">
        <f t="shared" si="24"/>
        <v>87.59999999999997</v>
      </c>
      <c r="AS60" s="135">
        <f t="shared" si="24"/>
        <v>87.59999999999997</v>
      </c>
      <c r="AT60" s="135">
        <f t="shared" si="24"/>
        <v>7.599999999999966</v>
      </c>
      <c r="AU60" s="135">
        <f t="shared" si="24"/>
        <v>87.59999999999997</v>
      </c>
      <c r="AV60" s="135">
        <f t="shared" si="24"/>
        <v>87.59999999999997</v>
      </c>
      <c r="AW60" s="135">
        <f t="shared" si="24"/>
        <v>87.59999999999997</v>
      </c>
      <c r="AX60" s="135">
        <f t="shared" si="24"/>
        <v>87.59999999999997</v>
      </c>
      <c r="AY60" s="135">
        <f t="shared" si="24"/>
        <v>7.599999999999966</v>
      </c>
      <c r="AZ60" s="135">
        <f t="shared" si="24"/>
        <v>87.59999999999997</v>
      </c>
      <c r="BA60" s="135">
        <f t="shared" si="24"/>
        <v>87.59999999999997</v>
      </c>
      <c r="BB60" s="135">
        <f t="shared" si="24"/>
        <v>87.59999999999997</v>
      </c>
      <c r="BC60" s="135">
        <f t="shared" si="24"/>
        <v>87.59999999999997</v>
      </c>
      <c r="BD60" s="135">
        <f t="shared" si="24"/>
        <v>7.599999999999966</v>
      </c>
      <c r="BE60" s="135">
        <f t="shared" si="24"/>
        <v>87.59999999999997</v>
      </c>
      <c r="BF60" s="135">
        <f t="shared" si="24"/>
        <v>87.59999999999997</v>
      </c>
      <c r="BG60" s="135">
        <f t="shared" si="24"/>
        <v>87.59999999999997</v>
      </c>
      <c r="BH60" s="135">
        <f t="shared" si="24"/>
        <v>87.59999999999997</v>
      </c>
      <c r="BI60" s="135">
        <f t="shared" si="24"/>
        <v>7.599999999999966</v>
      </c>
      <c r="BJ60" s="135">
        <f t="shared" si="24"/>
        <v>87.59999999999997</v>
      </c>
      <c r="BK60" s="135">
        <f t="shared" si="24"/>
        <v>87.59999999999997</v>
      </c>
      <c r="BL60" s="135">
        <f t="shared" si="24"/>
        <v>87.59999999999997</v>
      </c>
      <c r="BM60" s="135">
        <f t="shared" si="24"/>
        <v>87.59999999999997</v>
      </c>
      <c r="BN60" s="135">
        <f t="shared" si="24"/>
        <v>7.599999999999966</v>
      </c>
      <c r="BO60" s="135">
        <f t="shared" si="24"/>
        <v>87.59999999999997</v>
      </c>
      <c r="BP60" s="135">
        <f t="shared" si="24"/>
        <v>87.59999999999997</v>
      </c>
      <c r="BQ60" s="135">
        <f t="shared" si="24"/>
        <v>87.59999999999997</v>
      </c>
      <c r="BR60" s="135">
        <f t="shared" si="24"/>
        <v>87.59999999999997</v>
      </c>
      <c r="BS60" s="135">
        <f t="shared" si="24"/>
        <v>7.599999999999966</v>
      </c>
      <c r="BT60" s="135">
        <f t="shared" si="24"/>
        <v>87.59999999999997</v>
      </c>
      <c r="BU60" s="135">
        <f t="shared" si="24"/>
        <v>87.59999999999997</v>
      </c>
      <c r="BV60" s="135">
        <f t="shared" si="24"/>
        <v>87.59999999999997</v>
      </c>
      <c r="BW60" s="135">
        <f t="shared" si="24"/>
        <v>87.59999999999997</v>
      </c>
      <c r="BX60" s="135">
        <f aca="true" t="shared" si="25" ref="BX60:DF60">SUM(BX53:BX57)-SUM(BX58:BX59)</f>
        <v>7.599999999999966</v>
      </c>
      <c r="BY60" s="135">
        <f t="shared" si="25"/>
        <v>87.59999999999997</v>
      </c>
      <c r="BZ60" s="135">
        <f t="shared" si="25"/>
        <v>87.59999999999997</v>
      </c>
      <c r="CA60" s="135">
        <f t="shared" si="25"/>
        <v>87.59999999999997</v>
      </c>
      <c r="CB60" s="135">
        <f t="shared" si="25"/>
        <v>87.59999999999997</v>
      </c>
      <c r="CC60" s="135">
        <f t="shared" si="25"/>
        <v>7.599999999999966</v>
      </c>
      <c r="CD60" s="135">
        <f t="shared" si="25"/>
        <v>87.59999999999997</v>
      </c>
      <c r="CE60" s="135">
        <f t="shared" si="25"/>
        <v>87.59999999999997</v>
      </c>
      <c r="CF60" s="135">
        <f t="shared" si="25"/>
        <v>87.59999999999997</v>
      </c>
      <c r="CG60" s="135">
        <f t="shared" si="25"/>
        <v>87.59999999999997</v>
      </c>
      <c r="CH60" s="135">
        <f t="shared" si="25"/>
        <v>7.599999999999966</v>
      </c>
      <c r="CI60" s="135">
        <f t="shared" si="25"/>
        <v>87.59999999999997</v>
      </c>
      <c r="CJ60" s="135">
        <f t="shared" si="25"/>
        <v>87.59999999999997</v>
      </c>
      <c r="CK60" s="135">
        <f t="shared" si="25"/>
        <v>87.59999999999997</v>
      </c>
      <c r="CL60" s="135">
        <f t="shared" si="25"/>
        <v>87.59999999999997</v>
      </c>
      <c r="CM60" s="135">
        <f t="shared" si="25"/>
        <v>7.599999999999966</v>
      </c>
      <c r="CN60" s="135">
        <f t="shared" si="25"/>
        <v>87.59999999999997</v>
      </c>
      <c r="CO60" s="135">
        <f t="shared" si="25"/>
        <v>87.59999999999997</v>
      </c>
      <c r="CP60" s="135">
        <f t="shared" si="25"/>
        <v>87.59999999999997</v>
      </c>
      <c r="CQ60" s="135">
        <f t="shared" si="25"/>
        <v>87.59999999999997</v>
      </c>
      <c r="CR60" s="135">
        <f t="shared" si="25"/>
        <v>7.599999999999966</v>
      </c>
      <c r="CS60" s="135">
        <f t="shared" si="25"/>
        <v>87.59999999999997</v>
      </c>
      <c r="CT60" s="135">
        <f t="shared" si="25"/>
        <v>87.59999999999997</v>
      </c>
      <c r="CU60" s="135">
        <f t="shared" si="25"/>
        <v>87.59999999999997</v>
      </c>
      <c r="CV60" s="135">
        <f t="shared" si="25"/>
        <v>87.59999999999997</v>
      </c>
      <c r="CW60" s="135">
        <f t="shared" si="25"/>
        <v>7.599999999999966</v>
      </c>
      <c r="CX60" s="135">
        <f t="shared" si="25"/>
        <v>87.59999999999997</v>
      </c>
      <c r="CY60" s="135">
        <f t="shared" si="25"/>
        <v>87.59999999999997</v>
      </c>
      <c r="CZ60" s="135">
        <f t="shared" si="25"/>
        <v>87.59999999999997</v>
      </c>
      <c r="DA60" s="135">
        <f t="shared" si="25"/>
        <v>87.59999999999997</v>
      </c>
      <c r="DB60" s="135">
        <f t="shared" si="25"/>
        <v>7.599999999999966</v>
      </c>
      <c r="DC60" s="135">
        <f t="shared" si="25"/>
        <v>87.59999999999997</v>
      </c>
      <c r="DD60" s="135">
        <f t="shared" si="25"/>
        <v>87.59999999999997</v>
      </c>
      <c r="DE60" s="135">
        <f t="shared" si="25"/>
        <v>87.59999999999997</v>
      </c>
      <c r="DF60" s="135">
        <f t="shared" si="25"/>
        <v>87.59999999999997</v>
      </c>
    </row>
    <row r="61" spans="1:110" ht="18" customHeight="1">
      <c r="A61" s="96" t="s">
        <v>364</v>
      </c>
      <c r="B61" s="96">
        <v>1</v>
      </c>
      <c r="C61" s="96" t="s">
        <v>93</v>
      </c>
      <c r="D61" s="191">
        <f>'Buffer input prices'!D35</f>
        <v>850</v>
      </c>
      <c r="E61" s="121">
        <v>1</v>
      </c>
      <c r="F61" s="120">
        <f>E61*D61</f>
        <v>850</v>
      </c>
      <c r="G61" s="192">
        <f>F61</f>
        <v>850</v>
      </c>
      <c r="H61" s="211" t="s">
        <v>365</v>
      </c>
      <c r="J61" t="s">
        <v>366</v>
      </c>
      <c r="K61" s="162"/>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6" ht="18" customHeight="1">
      <c r="A62" s="96" t="s">
        <v>378</v>
      </c>
      <c r="B62" s="96">
        <v>1</v>
      </c>
      <c r="C62" s="96" t="s">
        <v>93</v>
      </c>
      <c r="D62" s="191">
        <f>'Buffer input prices'!D31</f>
        <v>30</v>
      </c>
      <c r="E62" s="121">
        <v>1</v>
      </c>
      <c r="F62" s="120">
        <f>E62*D62</f>
        <v>30</v>
      </c>
      <c r="G62" s="192">
        <f>F62</f>
        <v>30</v>
      </c>
      <c r="H62" s="211"/>
      <c r="J62" s="10"/>
      <c r="K62" s="162"/>
      <c r="M62" s="168" t="s">
        <v>368</v>
      </c>
      <c r="N62" s="169"/>
      <c r="O62" s="169"/>
      <c r="P62" s="193"/>
    </row>
    <row r="63" spans="1:14" ht="18" customHeight="1">
      <c r="A63" s="96" t="s">
        <v>234</v>
      </c>
      <c r="B63" s="96">
        <v>1</v>
      </c>
      <c r="C63" s="96" t="s">
        <v>93</v>
      </c>
      <c r="D63" s="191">
        <f>'Buffer input prices'!D28</f>
        <v>50</v>
      </c>
      <c r="E63" s="121">
        <v>1</v>
      </c>
      <c r="F63" s="120">
        <f>E63*D63</f>
        <v>50</v>
      </c>
      <c r="G63" s="192">
        <f>F63</f>
        <v>50</v>
      </c>
      <c r="H63" s="211"/>
      <c r="J63" s="20" t="s">
        <v>466</v>
      </c>
      <c r="K63" s="175">
        <f>NPV('Farm and Buffer Assumptions'!D20,K60:AD60)</f>
        <v>134.53137410390514</v>
      </c>
      <c r="M63" s="176">
        <f>K53</f>
        <v>0</v>
      </c>
      <c r="N63" s="177" t="s">
        <v>332</v>
      </c>
    </row>
    <row r="64" spans="1:14" ht="18" customHeight="1">
      <c r="A64" s="170" t="s">
        <v>379</v>
      </c>
      <c r="B64" s="96">
        <v>1</v>
      </c>
      <c r="C64" s="96" t="s">
        <v>93</v>
      </c>
      <c r="D64" s="458">
        <v>190</v>
      </c>
      <c r="E64" s="121">
        <v>1</v>
      </c>
      <c r="F64" s="120">
        <f>E64*D64</f>
        <v>190</v>
      </c>
      <c r="G64" s="192">
        <f>F64</f>
        <v>190</v>
      </c>
      <c r="H64" s="211" t="s">
        <v>380</v>
      </c>
      <c r="J64" s="20" t="s">
        <v>467</v>
      </c>
      <c r="K64" s="175">
        <f>NPV('Farm and Buffer Assumptions'!D20,K60:AN60)</f>
        <v>394.83907661869335</v>
      </c>
      <c r="M64" s="178">
        <f>NPV('Farm and Buffer Assumptions'!D20,K54:N54)</f>
        <v>0</v>
      </c>
      <c r="N64" s="18" t="s">
        <v>381</v>
      </c>
    </row>
    <row r="65" spans="1:25" ht="18" customHeight="1">
      <c r="A65" s="163" t="s">
        <v>346</v>
      </c>
      <c r="B65" s="164"/>
      <c r="C65" s="164"/>
      <c r="D65" s="199"/>
      <c r="E65" s="164"/>
      <c r="F65" s="199">
        <f>SUM(F61:F64)</f>
        <v>1120</v>
      </c>
      <c r="G65" s="200">
        <f>SUM(G61:G64)</f>
        <v>1120</v>
      </c>
      <c r="H65" s="477"/>
      <c r="J65" s="20" t="s">
        <v>468</v>
      </c>
      <c r="K65" s="175">
        <f>NPV('Farm and Buffer Assumptions'!D20,K60:AX60)</f>
        <v>570.6936333070494</v>
      </c>
      <c r="L65" s="1"/>
      <c r="M65" s="179">
        <f>NPV('Farm and Buffer Assumptions'!D20,K55:Y55)</f>
        <v>0</v>
      </c>
      <c r="N65" s="177" t="s">
        <v>336</v>
      </c>
      <c r="P65" s="1"/>
      <c r="Q65" s="1"/>
      <c r="R65" s="1"/>
      <c r="S65" s="1"/>
      <c r="T65" s="1"/>
      <c r="U65" s="1"/>
      <c r="V65" s="1"/>
      <c r="W65" s="1"/>
      <c r="X65" s="1"/>
      <c r="Y65" s="1"/>
    </row>
    <row r="66" spans="1:14" ht="15.75">
      <c r="A66" s="170"/>
      <c r="B66" s="171"/>
      <c r="C66" s="171"/>
      <c r="D66" s="171"/>
      <c r="E66" s="171"/>
      <c r="F66" s="201"/>
      <c r="G66" s="202"/>
      <c r="H66" s="211"/>
      <c r="J66" s="20" t="s">
        <v>469</v>
      </c>
      <c r="K66" s="175">
        <f>NPV('Farm and Buffer Assumptions'!D20,K60:BH60)</f>
        <v>689.4946707304481</v>
      </c>
      <c r="M66" s="178">
        <f>K56</f>
        <v>0</v>
      </c>
      <c r="N66" s="177" t="s">
        <v>338</v>
      </c>
    </row>
    <row r="67" spans="1:18" ht="22.5" customHeight="1">
      <c r="A67" s="382" t="s">
        <v>382</v>
      </c>
      <c r="B67" s="382"/>
      <c r="C67" s="383"/>
      <c r="D67" s="383"/>
      <c r="E67" s="383"/>
      <c r="F67" s="384"/>
      <c r="G67" s="384"/>
      <c r="H67" s="406"/>
      <c r="J67" s="20" t="s">
        <v>470</v>
      </c>
      <c r="K67" s="175">
        <f>NPV('Farm and Buffer Assumptions'!D20,K60:BR60)</f>
        <v>769.7523948330291</v>
      </c>
      <c r="M67" s="178">
        <f>NPV('Farm and Buffer Assumptions'!D20,K57:DF57)</f>
        <v>6704.56772562078</v>
      </c>
      <c r="N67" s="182" t="s">
        <v>383</v>
      </c>
      <c r="R67" s="9">
        <f>SUM(M63:M67)</f>
        <v>6704.56772562078</v>
      </c>
    </row>
    <row r="68" spans="1:18" ht="31.5" customHeight="1">
      <c r="A68" s="96" t="s">
        <v>379</v>
      </c>
      <c r="B68" s="96">
        <v>99</v>
      </c>
      <c r="C68" s="96" t="s">
        <v>93</v>
      </c>
      <c r="D68" s="390">
        <f>'Farm and Buffer Assumptions'!D24*'Buffer input prices'!D30</f>
        <v>16</v>
      </c>
      <c r="E68" s="121">
        <v>1</v>
      </c>
      <c r="F68" s="120">
        <f>D68*E68</f>
        <v>16</v>
      </c>
      <c r="G68" s="192">
        <f>F68/'Farm and Buffer Assumptions'!D20</f>
        <v>400</v>
      </c>
      <c r="H68" s="211" t="s">
        <v>384</v>
      </c>
      <c r="J68" s="20" t="s">
        <v>471</v>
      </c>
      <c r="K68" s="175">
        <f>NPV('Farm and Buffer Assumptions'!D20,K60:CB60)</f>
        <v>823.9716375082395</v>
      </c>
      <c r="M68" s="181">
        <f>K58</f>
        <v>1120</v>
      </c>
      <c r="N68" s="182" t="s">
        <v>354</v>
      </c>
      <c r="R68" s="9">
        <f>SUM(M68:M69)</f>
        <v>5845.582674307185</v>
      </c>
    </row>
    <row r="69" spans="1:14" ht="25.5">
      <c r="A69" s="96" t="s">
        <v>385</v>
      </c>
      <c r="B69" s="96">
        <v>99</v>
      </c>
      <c r="C69" s="96" t="s">
        <v>93</v>
      </c>
      <c r="D69" s="191">
        <f>'Buffer input prices'!D42</f>
        <v>170</v>
      </c>
      <c r="E69" s="121">
        <v>1</v>
      </c>
      <c r="F69" s="120">
        <f>E69*D69</f>
        <v>170</v>
      </c>
      <c r="G69" s="192">
        <f>(F69/'Farm and Buffer Assumptions'!D20)</f>
        <v>4250</v>
      </c>
      <c r="H69" s="211" t="s">
        <v>386</v>
      </c>
      <c r="J69" s="20" t="s">
        <v>472</v>
      </c>
      <c r="K69" s="175">
        <f>NPV('Farm and Buffer Assumptions'!D20,K60:CL60)</f>
        <v>860.6002151204823</v>
      </c>
      <c r="M69" s="178">
        <f>NPV('Farm and Buffer Assumptions'!D20,K59:DF59)</f>
        <v>4725.582674307185</v>
      </c>
      <c r="N69" t="s">
        <v>387</v>
      </c>
    </row>
    <row r="70" spans="1:14" ht="27.75" customHeight="1">
      <c r="A70" s="96" t="s">
        <v>378</v>
      </c>
      <c r="B70" s="414">
        <f>'Farm and Buffer Assumptions'!D23</f>
        <v>4</v>
      </c>
      <c r="C70" s="96" t="s">
        <v>93</v>
      </c>
      <c r="D70" s="191">
        <f>D62</f>
        <v>30</v>
      </c>
      <c r="E70" s="121">
        <v>1</v>
      </c>
      <c r="F70" s="120">
        <f>E70*D70</f>
        <v>30</v>
      </c>
      <c r="G70" s="161">
        <f>F70/(((1+'Farm and Buffer Assumptions'!$D$20)^B70)-1)</f>
        <v>176.61753402360154</v>
      </c>
      <c r="H70" s="211" t="s">
        <v>388</v>
      </c>
      <c r="J70" s="20" t="s">
        <v>473</v>
      </c>
      <c r="K70" s="175">
        <f>NPV('Farm and Buffer Assumptions'!D20,K60:CV60)</f>
        <v>885.3451697103685</v>
      </c>
      <c r="M70" s="186">
        <f>SUM(M63:M67)-SUM(M68:M69)</f>
        <v>858.9850513135952</v>
      </c>
      <c r="N70" t="s">
        <v>358</v>
      </c>
    </row>
    <row r="71" spans="1:11" ht="30" customHeight="1">
      <c r="A71" s="96" t="s">
        <v>234</v>
      </c>
      <c r="B71" s="414">
        <f>'Farm and Buffer Assumptions'!D23</f>
        <v>4</v>
      </c>
      <c r="C71" s="96" t="s">
        <v>93</v>
      </c>
      <c r="D71" s="191">
        <f>D63</f>
        <v>50</v>
      </c>
      <c r="E71" s="121">
        <v>1</v>
      </c>
      <c r="F71" s="120">
        <f>E71*D71</f>
        <v>50</v>
      </c>
      <c r="G71" s="161">
        <f>F71/(((1+'Farm and Buffer Assumptions'!$D$20)^B71)-1)</f>
        <v>294.3625567060026</v>
      </c>
      <c r="H71" s="211" t="s">
        <v>389</v>
      </c>
      <c r="J71" s="20" t="s">
        <v>474</v>
      </c>
      <c r="K71" s="175">
        <f>NPV('Farm and Buffer Assumptions'!D20,K60:DF60)</f>
        <v>902.061974390517</v>
      </c>
    </row>
    <row r="72" spans="1:8" ht="18" customHeight="1">
      <c r="A72" s="163" t="s">
        <v>353</v>
      </c>
      <c r="B72" s="171"/>
      <c r="C72" s="171"/>
      <c r="D72" s="171"/>
      <c r="E72" s="171"/>
      <c r="F72" s="199">
        <f>SUM(F68:F71)</f>
        <v>266</v>
      </c>
      <c r="G72" s="200">
        <f>SUM(G68:G71)</f>
        <v>5120.980090729604</v>
      </c>
      <c r="H72" s="211"/>
    </row>
    <row r="73" spans="1:11" ht="18" customHeight="1">
      <c r="A73" s="96"/>
      <c r="B73" s="96"/>
      <c r="C73" s="96"/>
      <c r="D73" s="191"/>
      <c r="E73" s="121"/>
      <c r="F73" s="121"/>
      <c r="G73" s="192"/>
      <c r="H73" s="211"/>
      <c r="J73" t="s">
        <v>360</v>
      </c>
      <c r="K73" s="188">
        <f>K71-G76</f>
        <v>303.04206512012183</v>
      </c>
    </row>
    <row r="74" spans="1:8" ht="18" customHeight="1">
      <c r="A74" s="194" t="s">
        <v>355</v>
      </c>
      <c r="B74" s="194"/>
      <c r="C74" s="194"/>
      <c r="D74" s="203"/>
      <c r="E74" s="204"/>
      <c r="F74" s="204"/>
      <c r="G74" s="205">
        <f>G65+G72+G73</f>
        <v>6240.980090729604</v>
      </c>
      <c r="H74" s="225"/>
    </row>
    <row r="75" spans="1:8" ht="18" customHeight="1">
      <c r="A75" s="96"/>
      <c r="B75" s="96"/>
      <c r="C75" s="96"/>
      <c r="D75" s="96"/>
      <c r="E75" s="96"/>
      <c r="F75" s="120"/>
      <c r="G75" s="189"/>
      <c r="H75" s="211"/>
    </row>
    <row r="76" spans="1:8" ht="18" customHeight="1">
      <c r="A76" s="437" t="s">
        <v>357</v>
      </c>
      <c r="B76" s="459"/>
      <c r="C76" s="459"/>
      <c r="D76" s="459"/>
      <c r="E76" s="459"/>
      <c r="F76" s="460"/>
      <c r="G76" s="460">
        <f>G58-G74</f>
        <v>599.0199092703951</v>
      </c>
      <c r="H76" s="440"/>
    </row>
    <row r="77" spans="1:8" ht="61.5" customHeight="1">
      <c r="A77" s="931" t="s">
        <v>479</v>
      </c>
      <c r="B77" s="938"/>
      <c r="C77" s="938"/>
      <c r="D77" s="938"/>
      <c r="E77" s="938"/>
      <c r="F77" s="932"/>
      <c r="G77" s="932"/>
      <c r="H77" s="932"/>
    </row>
    <row r="78" spans="1:8" ht="18" customHeight="1">
      <c r="A78" s="934" t="s">
        <v>390</v>
      </c>
      <c r="B78" s="932"/>
      <c r="C78" s="932"/>
      <c r="D78" s="932"/>
      <c r="E78" s="932"/>
      <c r="F78" s="187"/>
      <c r="G78" s="187"/>
      <c r="H78" s="187"/>
    </row>
    <row r="79" spans="1:8" ht="30" customHeight="1">
      <c r="A79" s="932" t="s">
        <v>361</v>
      </c>
      <c r="B79" s="932"/>
      <c r="C79" s="932"/>
      <c r="D79" s="932"/>
      <c r="E79" s="932"/>
      <c r="F79" s="932"/>
      <c r="G79" s="932"/>
      <c r="H79" s="932"/>
    </row>
    <row r="80" spans="1:8" ht="27.75" customHeight="1">
      <c r="A80" s="932" t="s">
        <v>391</v>
      </c>
      <c r="B80" s="932"/>
      <c r="C80" s="932"/>
      <c r="D80" s="932"/>
      <c r="E80" s="932"/>
      <c r="F80" s="187"/>
      <c r="G80" s="187"/>
      <c r="H80" s="187"/>
    </row>
    <row r="81" spans="1:8" ht="48" customHeight="1" thickBot="1">
      <c r="A81" s="935" t="s">
        <v>477</v>
      </c>
      <c r="B81" s="935"/>
      <c r="C81" s="935"/>
      <c r="D81" s="935"/>
      <c r="E81" s="935"/>
      <c r="F81" s="935"/>
      <c r="G81" s="935"/>
      <c r="H81" s="935"/>
    </row>
    <row r="82" spans="1:11" ht="41.25" customHeight="1" thickBot="1">
      <c r="A82" s="393" t="s">
        <v>392</v>
      </c>
      <c r="B82" s="394" t="s">
        <v>327</v>
      </c>
      <c r="C82" s="380" t="s">
        <v>83</v>
      </c>
      <c r="D82" s="381" t="s">
        <v>84</v>
      </c>
      <c r="E82" s="395" t="s">
        <v>85</v>
      </c>
      <c r="F82" s="381" t="s">
        <v>86</v>
      </c>
      <c r="G82" s="395" t="s">
        <v>328</v>
      </c>
      <c r="H82" s="380" t="s">
        <v>329</v>
      </c>
      <c r="K82" t="s">
        <v>325</v>
      </c>
    </row>
    <row r="83" spans="1:110" ht="18" customHeight="1" thickBot="1">
      <c r="A83" s="397" t="s">
        <v>393</v>
      </c>
      <c r="B83" s="398"/>
      <c r="C83" s="386"/>
      <c r="D83" s="387"/>
      <c r="E83" s="399"/>
      <c r="F83" s="387"/>
      <c r="G83" s="399"/>
      <c r="H83" s="400"/>
      <c r="J83" s="150" t="s">
        <v>330</v>
      </c>
      <c r="K83" s="97">
        <v>1</v>
      </c>
      <c r="L83" s="97">
        <v>2</v>
      </c>
      <c r="M83" s="97">
        <v>3</v>
      </c>
      <c r="N83" s="97">
        <v>4</v>
      </c>
      <c r="O83" s="97">
        <v>5</v>
      </c>
      <c r="P83" s="97">
        <v>6</v>
      </c>
      <c r="Q83" s="97">
        <v>7</v>
      </c>
      <c r="R83" s="97">
        <v>8</v>
      </c>
      <c r="S83" s="97">
        <v>9</v>
      </c>
      <c r="T83" s="97">
        <v>10</v>
      </c>
      <c r="U83" s="97">
        <v>11</v>
      </c>
      <c r="V83" s="97">
        <v>12</v>
      </c>
      <c r="W83" s="97">
        <v>13</v>
      </c>
      <c r="X83" s="97">
        <v>14</v>
      </c>
      <c r="Y83" s="97">
        <v>15</v>
      </c>
      <c r="Z83" s="95">
        <v>16</v>
      </c>
      <c r="AA83" s="95">
        <v>17</v>
      </c>
      <c r="AB83" s="95">
        <v>18</v>
      </c>
      <c r="AC83" s="95">
        <v>19</v>
      </c>
      <c r="AD83" s="95">
        <v>20</v>
      </c>
      <c r="AE83" s="95">
        <v>21</v>
      </c>
      <c r="AF83" s="95">
        <v>22</v>
      </c>
      <c r="AG83" s="95">
        <v>23</v>
      </c>
      <c r="AH83" s="95">
        <v>24</v>
      </c>
      <c r="AI83" s="95">
        <v>25</v>
      </c>
      <c r="AJ83" s="95">
        <v>26</v>
      </c>
      <c r="AK83" s="95">
        <v>27</v>
      </c>
      <c r="AL83" s="95">
        <v>28</v>
      </c>
      <c r="AM83" s="95">
        <v>29</v>
      </c>
      <c r="AN83" s="95">
        <v>30</v>
      </c>
      <c r="AO83" s="95">
        <v>31</v>
      </c>
      <c r="AP83" s="95">
        <v>32</v>
      </c>
      <c r="AQ83" s="95">
        <v>33</v>
      </c>
      <c r="AR83" s="95">
        <v>34</v>
      </c>
      <c r="AS83" s="95">
        <v>35</v>
      </c>
      <c r="AT83" s="95">
        <v>36</v>
      </c>
      <c r="AU83" s="95">
        <v>37</v>
      </c>
      <c r="AV83" s="95">
        <v>38</v>
      </c>
      <c r="AW83" s="95">
        <v>39</v>
      </c>
      <c r="AX83" s="95">
        <v>40</v>
      </c>
      <c r="AY83" s="95">
        <v>41</v>
      </c>
      <c r="AZ83" s="95">
        <v>42</v>
      </c>
      <c r="BA83" s="95">
        <v>43</v>
      </c>
      <c r="BB83" s="95">
        <v>44</v>
      </c>
      <c r="BC83" s="95">
        <v>45</v>
      </c>
      <c r="BD83" s="95">
        <v>46</v>
      </c>
      <c r="BE83" s="95">
        <v>47</v>
      </c>
      <c r="BF83" s="95">
        <v>48</v>
      </c>
      <c r="BG83" s="95">
        <v>49</v>
      </c>
      <c r="BH83" s="95">
        <v>50</v>
      </c>
      <c r="BI83" s="95">
        <v>51</v>
      </c>
      <c r="BJ83" s="95">
        <v>52</v>
      </c>
      <c r="BK83" s="95">
        <v>53</v>
      </c>
      <c r="BL83" s="95">
        <v>54</v>
      </c>
      <c r="BM83" s="95">
        <v>55</v>
      </c>
      <c r="BN83" s="95">
        <v>56</v>
      </c>
      <c r="BO83" s="95">
        <v>57</v>
      </c>
      <c r="BP83" s="95">
        <v>58</v>
      </c>
      <c r="BQ83" s="95">
        <v>59</v>
      </c>
      <c r="BR83" s="95">
        <v>60</v>
      </c>
      <c r="BS83" s="95">
        <v>61</v>
      </c>
      <c r="BT83" s="95">
        <v>62</v>
      </c>
      <c r="BU83" s="95">
        <v>63</v>
      </c>
      <c r="BV83" s="95">
        <v>64</v>
      </c>
      <c r="BW83" s="95">
        <v>65</v>
      </c>
      <c r="BX83" s="95">
        <v>66</v>
      </c>
      <c r="BY83" s="95">
        <v>67</v>
      </c>
      <c r="BZ83" s="95">
        <v>68</v>
      </c>
      <c r="CA83" s="95">
        <v>69</v>
      </c>
      <c r="CB83" s="95">
        <v>70</v>
      </c>
      <c r="CC83" s="95">
        <v>71</v>
      </c>
      <c r="CD83" s="95">
        <v>72</v>
      </c>
      <c r="CE83" s="95">
        <v>73</v>
      </c>
      <c r="CF83" s="95">
        <v>74</v>
      </c>
      <c r="CG83" s="95">
        <v>75</v>
      </c>
      <c r="CH83" s="95">
        <v>76</v>
      </c>
      <c r="CI83" s="95">
        <v>77</v>
      </c>
      <c r="CJ83" s="95">
        <v>78</v>
      </c>
      <c r="CK83" s="95">
        <v>79</v>
      </c>
      <c r="CL83" s="95">
        <v>80</v>
      </c>
      <c r="CM83" s="95">
        <v>81</v>
      </c>
      <c r="CN83" s="95">
        <v>82</v>
      </c>
      <c r="CO83" s="95">
        <v>83</v>
      </c>
      <c r="CP83" s="95">
        <v>84</v>
      </c>
      <c r="CQ83" s="95">
        <v>85</v>
      </c>
      <c r="CR83" s="95">
        <v>86</v>
      </c>
      <c r="CS83" s="95">
        <v>87</v>
      </c>
      <c r="CT83" s="95">
        <v>88</v>
      </c>
      <c r="CU83" s="95">
        <v>89</v>
      </c>
      <c r="CV83" s="95">
        <v>90</v>
      </c>
      <c r="CW83" s="95">
        <v>91</v>
      </c>
      <c r="CX83" s="95">
        <v>92</v>
      </c>
      <c r="CY83" s="95">
        <v>93</v>
      </c>
      <c r="CZ83" s="95">
        <v>94</v>
      </c>
      <c r="DA83" s="95">
        <v>95</v>
      </c>
      <c r="DB83" s="95">
        <v>96</v>
      </c>
      <c r="DC83" s="95">
        <v>97</v>
      </c>
      <c r="DD83" s="95">
        <v>98</v>
      </c>
      <c r="DE83" s="95">
        <v>99</v>
      </c>
      <c r="DF83" s="95">
        <v>100</v>
      </c>
    </row>
    <row r="84" spans="1:110" ht="18" customHeight="1" thickBot="1">
      <c r="A84" s="96" t="s">
        <v>332</v>
      </c>
      <c r="B84" s="97">
        <v>1</v>
      </c>
      <c r="C84" s="97" t="s">
        <v>93</v>
      </c>
      <c r="D84" s="151">
        <f>IF('Farm and Buffer Assumptions'!D60=1,F95*'Farm and Buffer Assumptions'!D38,0)</f>
        <v>2368</v>
      </c>
      <c r="E84" s="139">
        <v>1</v>
      </c>
      <c r="F84" s="151">
        <f>E84*D84</f>
        <v>2368</v>
      </c>
      <c r="G84" s="152">
        <f>F84</f>
        <v>2368</v>
      </c>
      <c r="H84" s="153"/>
      <c r="J84" s="97" t="s">
        <v>331</v>
      </c>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row>
    <row r="85" spans="1:110" ht="18" customHeight="1" thickBot="1">
      <c r="A85" s="96" t="s">
        <v>394</v>
      </c>
      <c r="B85" s="97">
        <f>'Farm and Buffer Assumptions'!D40</f>
        <v>5</v>
      </c>
      <c r="C85" s="97" t="s">
        <v>93</v>
      </c>
      <c r="D85" s="151">
        <f>IF('Farm and Buffer Assumptions'!D61=1,F98*'Farm and Buffer Assumptions'!D39,0)</f>
        <v>350</v>
      </c>
      <c r="E85" s="139">
        <v>1</v>
      </c>
      <c r="F85" s="151">
        <f>E85*D85</f>
        <v>350</v>
      </c>
      <c r="G85" s="152">
        <f>(PV('Farm and Buffer Assumptions'!D20,B85,-F85))</f>
        <v>1558.137815855674</v>
      </c>
      <c r="H85" s="153"/>
      <c r="J85" s="97" t="s">
        <v>333</v>
      </c>
      <c r="K85" s="151">
        <f>F84</f>
        <v>2368</v>
      </c>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row>
    <row r="86" spans="1:110" ht="18" customHeight="1" thickBot="1">
      <c r="A86" s="96" t="s">
        <v>395</v>
      </c>
      <c r="B86" s="97">
        <v>2</v>
      </c>
      <c r="C86" s="97" t="s">
        <v>93</v>
      </c>
      <c r="D86" s="151">
        <f>IF('Farm and Buffer Assumptions'!D61=1,F99*'Farm and Buffer Assumptions'!D39,0)</f>
        <v>66.5</v>
      </c>
      <c r="E86" s="139">
        <v>1</v>
      </c>
      <c r="F86" s="151">
        <f>E86*D86</f>
        <v>66.5</v>
      </c>
      <c r="G86" s="207">
        <f>F86/(1+'Farm and Buffer Assumptions'!D20)^B86</f>
        <v>61.48298816568047</v>
      </c>
      <c r="H86" s="153"/>
      <c r="J86" s="97" t="s">
        <v>396</v>
      </c>
      <c r="K86" s="97">
        <v>0</v>
      </c>
      <c r="L86" s="151">
        <f>IF(L83=($B$114+1),$F$114,IF(L83&lt;=$B$114,$F$114,0))</f>
        <v>350</v>
      </c>
      <c r="M86" s="151">
        <f aca="true" t="shared" si="26" ref="M86:BX86">IF(M83=($B$114+1),$F$114,IF(M83&lt;=$B$114,$F$114,0))</f>
        <v>350</v>
      </c>
      <c r="N86" s="151">
        <f t="shared" si="26"/>
        <v>350</v>
      </c>
      <c r="O86" s="151">
        <f t="shared" si="26"/>
        <v>350</v>
      </c>
      <c r="P86" s="151">
        <f t="shared" si="26"/>
        <v>350</v>
      </c>
      <c r="Q86" s="151">
        <f t="shared" si="26"/>
        <v>0</v>
      </c>
      <c r="R86" s="151">
        <f t="shared" si="26"/>
        <v>0</v>
      </c>
      <c r="S86" s="151">
        <f t="shared" si="26"/>
        <v>0</v>
      </c>
      <c r="T86" s="151">
        <f t="shared" si="26"/>
        <v>0</v>
      </c>
      <c r="U86" s="151">
        <f t="shared" si="26"/>
        <v>0</v>
      </c>
      <c r="V86" s="151">
        <f t="shared" si="26"/>
        <v>0</v>
      </c>
      <c r="W86" s="151">
        <f t="shared" si="26"/>
        <v>0</v>
      </c>
      <c r="X86" s="151">
        <f t="shared" si="26"/>
        <v>0</v>
      </c>
      <c r="Y86" s="151">
        <f t="shared" si="26"/>
        <v>0</v>
      </c>
      <c r="Z86" s="151">
        <f t="shared" si="26"/>
        <v>0</v>
      </c>
      <c r="AA86" s="151">
        <f t="shared" si="26"/>
        <v>0</v>
      </c>
      <c r="AB86" s="151">
        <f t="shared" si="26"/>
        <v>0</v>
      </c>
      <c r="AC86" s="151">
        <f t="shared" si="26"/>
        <v>0</v>
      </c>
      <c r="AD86" s="151">
        <f t="shared" si="26"/>
        <v>0</v>
      </c>
      <c r="AE86" s="151">
        <f t="shared" si="26"/>
        <v>0</v>
      </c>
      <c r="AF86" s="151">
        <f t="shared" si="26"/>
        <v>0</v>
      </c>
      <c r="AG86" s="151">
        <f t="shared" si="26"/>
        <v>0</v>
      </c>
      <c r="AH86" s="151">
        <f t="shared" si="26"/>
        <v>0</v>
      </c>
      <c r="AI86" s="151">
        <f t="shared" si="26"/>
        <v>0</v>
      </c>
      <c r="AJ86" s="151">
        <f t="shared" si="26"/>
        <v>0</v>
      </c>
      <c r="AK86" s="151">
        <f t="shared" si="26"/>
        <v>0</v>
      </c>
      <c r="AL86" s="151">
        <f t="shared" si="26"/>
        <v>0</v>
      </c>
      <c r="AM86" s="151">
        <f t="shared" si="26"/>
        <v>0</v>
      </c>
      <c r="AN86" s="151">
        <f t="shared" si="26"/>
        <v>0</v>
      </c>
      <c r="AO86" s="151">
        <f t="shared" si="26"/>
        <v>0</v>
      </c>
      <c r="AP86" s="151">
        <f t="shared" si="26"/>
        <v>0</v>
      </c>
      <c r="AQ86" s="151">
        <f t="shared" si="26"/>
        <v>0</v>
      </c>
      <c r="AR86" s="151">
        <f t="shared" si="26"/>
        <v>0</v>
      </c>
      <c r="AS86" s="151">
        <f t="shared" si="26"/>
        <v>0</v>
      </c>
      <c r="AT86" s="151">
        <f t="shared" si="26"/>
        <v>0</v>
      </c>
      <c r="AU86" s="151">
        <f t="shared" si="26"/>
        <v>0</v>
      </c>
      <c r="AV86" s="151">
        <f t="shared" si="26"/>
        <v>0</v>
      </c>
      <c r="AW86" s="151">
        <f t="shared" si="26"/>
        <v>0</v>
      </c>
      <c r="AX86" s="151">
        <f t="shared" si="26"/>
        <v>0</v>
      </c>
      <c r="AY86" s="151">
        <f t="shared" si="26"/>
        <v>0</v>
      </c>
      <c r="AZ86" s="151">
        <f t="shared" si="26"/>
        <v>0</v>
      </c>
      <c r="BA86" s="151">
        <f t="shared" si="26"/>
        <v>0</v>
      </c>
      <c r="BB86" s="151">
        <f t="shared" si="26"/>
        <v>0</v>
      </c>
      <c r="BC86" s="151">
        <f t="shared" si="26"/>
        <v>0</v>
      </c>
      <c r="BD86" s="151">
        <f t="shared" si="26"/>
        <v>0</v>
      </c>
      <c r="BE86" s="151">
        <f t="shared" si="26"/>
        <v>0</v>
      </c>
      <c r="BF86" s="151">
        <f t="shared" si="26"/>
        <v>0</v>
      </c>
      <c r="BG86" s="151">
        <f t="shared" si="26"/>
        <v>0</v>
      </c>
      <c r="BH86" s="151">
        <f t="shared" si="26"/>
        <v>0</v>
      </c>
      <c r="BI86" s="151">
        <f t="shared" si="26"/>
        <v>0</v>
      </c>
      <c r="BJ86" s="151">
        <f t="shared" si="26"/>
        <v>0</v>
      </c>
      <c r="BK86" s="151">
        <f t="shared" si="26"/>
        <v>0</v>
      </c>
      <c r="BL86" s="151">
        <f t="shared" si="26"/>
        <v>0</v>
      </c>
      <c r="BM86" s="151">
        <f t="shared" si="26"/>
        <v>0</v>
      </c>
      <c r="BN86" s="151">
        <f t="shared" si="26"/>
        <v>0</v>
      </c>
      <c r="BO86" s="151">
        <f t="shared" si="26"/>
        <v>0</v>
      </c>
      <c r="BP86" s="151">
        <f t="shared" si="26"/>
        <v>0</v>
      </c>
      <c r="BQ86" s="151">
        <f t="shared" si="26"/>
        <v>0</v>
      </c>
      <c r="BR86" s="151">
        <f t="shared" si="26"/>
        <v>0</v>
      </c>
      <c r="BS86" s="151">
        <f t="shared" si="26"/>
        <v>0</v>
      </c>
      <c r="BT86" s="151">
        <f t="shared" si="26"/>
        <v>0</v>
      </c>
      <c r="BU86" s="151">
        <f t="shared" si="26"/>
        <v>0</v>
      </c>
      <c r="BV86" s="151">
        <f t="shared" si="26"/>
        <v>0</v>
      </c>
      <c r="BW86" s="151">
        <f t="shared" si="26"/>
        <v>0</v>
      </c>
      <c r="BX86" s="151">
        <f t="shared" si="26"/>
        <v>0</v>
      </c>
      <c r="BY86" s="151">
        <f aca="true" t="shared" si="27" ref="BY86:DF86">IF(BY83=($B$114+1),$F$114,IF(BY83&lt;=$B$114,$F$114,0))</f>
        <v>0</v>
      </c>
      <c r="BZ86" s="151">
        <f t="shared" si="27"/>
        <v>0</v>
      </c>
      <c r="CA86" s="151">
        <f t="shared" si="27"/>
        <v>0</v>
      </c>
      <c r="CB86" s="151">
        <f t="shared" si="27"/>
        <v>0</v>
      </c>
      <c r="CC86" s="151">
        <f t="shared" si="27"/>
        <v>0</v>
      </c>
      <c r="CD86" s="151">
        <f t="shared" si="27"/>
        <v>0</v>
      </c>
      <c r="CE86" s="151">
        <f t="shared" si="27"/>
        <v>0</v>
      </c>
      <c r="CF86" s="151">
        <f t="shared" si="27"/>
        <v>0</v>
      </c>
      <c r="CG86" s="151">
        <f t="shared" si="27"/>
        <v>0</v>
      </c>
      <c r="CH86" s="151">
        <f t="shared" si="27"/>
        <v>0</v>
      </c>
      <c r="CI86" s="151">
        <f t="shared" si="27"/>
        <v>0</v>
      </c>
      <c r="CJ86" s="151">
        <f t="shared" si="27"/>
        <v>0</v>
      </c>
      <c r="CK86" s="151">
        <f t="shared" si="27"/>
        <v>0</v>
      </c>
      <c r="CL86" s="151">
        <f t="shared" si="27"/>
        <v>0</v>
      </c>
      <c r="CM86" s="151">
        <f t="shared" si="27"/>
        <v>0</v>
      </c>
      <c r="CN86" s="151">
        <f t="shared" si="27"/>
        <v>0</v>
      </c>
      <c r="CO86" s="151">
        <f t="shared" si="27"/>
        <v>0</v>
      </c>
      <c r="CP86" s="151">
        <f t="shared" si="27"/>
        <v>0</v>
      </c>
      <c r="CQ86" s="151">
        <f t="shared" si="27"/>
        <v>0</v>
      </c>
      <c r="CR86" s="151">
        <f t="shared" si="27"/>
        <v>0</v>
      </c>
      <c r="CS86" s="151">
        <f t="shared" si="27"/>
        <v>0</v>
      </c>
      <c r="CT86" s="151">
        <f t="shared" si="27"/>
        <v>0</v>
      </c>
      <c r="CU86" s="151">
        <f t="shared" si="27"/>
        <v>0</v>
      </c>
      <c r="CV86" s="151">
        <f t="shared" si="27"/>
        <v>0</v>
      </c>
      <c r="CW86" s="151">
        <f t="shared" si="27"/>
        <v>0</v>
      </c>
      <c r="CX86" s="151">
        <f t="shared" si="27"/>
        <v>0</v>
      </c>
      <c r="CY86" s="151">
        <f t="shared" si="27"/>
        <v>0</v>
      </c>
      <c r="CZ86" s="151">
        <f t="shared" si="27"/>
        <v>0</v>
      </c>
      <c r="DA86" s="151">
        <f t="shared" si="27"/>
        <v>0</v>
      </c>
      <c r="DB86" s="151">
        <f t="shared" si="27"/>
        <v>0</v>
      </c>
      <c r="DC86" s="151">
        <f t="shared" si="27"/>
        <v>0</v>
      </c>
      <c r="DD86" s="151">
        <f t="shared" si="27"/>
        <v>0</v>
      </c>
      <c r="DE86" s="151">
        <f t="shared" si="27"/>
        <v>0</v>
      </c>
      <c r="DF86" s="151">
        <f t="shared" si="27"/>
        <v>0</v>
      </c>
    </row>
    <row r="87" spans="1:110" ht="18" customHeight="1" thickBot="1">
      <c r="A87" s="97" t="s">
        <v>336</v>
      </c>
      <c r="B87" s="97">
        <f>'Farm and Buffer Assumptions'!D35</f>
        <v>15</v>
      </c>
      <c r="C87" s="97" t="s">
        <v>93</v>
      </c>
      <c r="D87" s="151">
        <f>IF('Farm and Buffer Assumptions'!D58=1,'Buffer input prices'!D21*'Farm and Buffer Assumptions'!D36,0)</f>
        <v>230</v>
      </c>
      <c r="E87" s="139">
        <v>1</v>
      </c>
      <c r="F87" s="151">
        <f>E87*D87</f>
        <v>230</v>
      </c>
      <c r="G87" s="152">
        <f>-PV('Farm and Buffer Assumptions'!D20,B87,F87)</f>
        <v>2557.2291093986696</v>
      </c>
      <c r="H87" s="153"/>
      <c r="J87" s="97" t="s">
        <v>397</v>
      </c>
      <c r="K87" s="97">
        <v>0</v>
      </c>
      <c r="L87" s="151">
        <f>F86</f>
        <v>66.5</v>
      </c>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151"/>
      <c r="DF87" s="151"/>
    </row>
    <row r="88" spans="1:110" ht="18" customHeight="1" thickBot="1">
      <c r="A88" s="97" t="s">
        <v>338</v>
      </c>
      <c r="B88" s="97">
        <v>1</v>
      </c>
      <c r="C88" s="97" t="s">
        <v>93</v>
      </c>
      <c r="D88" s="151">
        <f>IF('Farm and Buffer Assumptions'!D59=1,'Farm and Buffer Assumptions'!D37,0)</f>
        <v>0</v>
      </c>
      <c r="E88" s="139">
        <v>1</v>
      </c>
      <c r="F88" s="151">
        <f>E88*D88</f>
        <v>0</v>
      </c>
      <c r="G88" s="152">
        <f>F88</f>
        <v>0</v>
      </c>
      <c r="H88" s="153"/>
      <c r="J88" s="97" t="s">
        <v>337</v>
      </c>
      <c r="K88" s="151">
        <f>IF(K83&lt;=$B$116,$F$116,0)</f>
        <v>230</v>
      </c>
      <c r="L88" s="151">
        <f aca="true" t="shared" si="28" ref="L88:BW88">IF(L83&lt;=$B$116,$F$116,0)</f>
        <v>230</v>
      </c>
      <c r="M88" s="151">
        <f t="shared" si="28"/>
        <v>230</v>
      </c>
      <c r="N88" s="151">
        <f t="shared" si="28"/>
        <v>230</v>
      </c>
      <c r="O88" s="151">
        <f t="shared" si="28"/>
        <v>230</v>
      </c>
      <c r="P88" s="151">
        <f t="shared" si="28"/>
        <v>230</v>
      </c>
      <c r="Q88" s="151">
        <f t="shared" si="28"/>
        <v>230</v>
      </c>
      <c r="R88" s="151">
        <f t="shared" si="28"/>
        <v>230</v>
      </c>
      <c r="S88" s="151">
        <f t="shared" si="28"/>
        <v>230</v>
      </c>
      <c r="T88" s="151">
        <f t="shared" si="28"/>
        <v>230</v>
      </c>
      <c r="U88" s="151">
        <f t="shared" si="28"/>
        <v>230</v>
      </c>
      <c r="V88" s="151">
        <f t="shared" si="28"/>
        <v>230</v>
      </c>
      <c r="W88" s="151">
        <f t="shared" si="28"/>
        <v>230</v>
      </c>
      <c r="X88" s="151">
        <f t="shared" si="28"/>
        <v>230</v>
      </c>
      <c r="Y88" s="151">
        <f t="shared" si="28"/>
        <v>230</v>
      </c>
      <c r="Z88" s="151">
        <f t="shared" si="28"/>
        <v>0</v>
      </c>
      <c r="AA88" s="151">
        <f t="shared" si="28"/>
        <v>0</v>
      </c>
      <c r="AB88" s="151">
        <f t="shared" si="28"/>
        <v>0</v>
      </c>
      <c r="AC88" s="151">
        <f t="shared" si="28"/>
        <v>0</v>
      </c>
      <c r="AD88" s="151">
        <f t="shared" si="28"/>
        <v>0</v>
      </c>
      <c r="AE88" s="151">
        <f t="shared" si="28"/>
        <v>0</v>
      </c>
      <c r="AF88" s="151">
        <f t="shared" si="28"/>
        <v>0</v>
      </c>
      <c r="AG88" s="151">
        <f t="shared" si="28"/>
        <v>0</v>
      </c>
      <c r="AH88" s="151">
        <f t="shared" si="28"/>
        <v>0</v>
      </c>
      <c r="AI88" s="151">
        <f t="shared" si="28"/>
        <v>0</v>
      </c>
      <c r="AJ88" s="151">
        <f t="shared" si="28"/>
        <v>0</v>
      </c>
      <c r="AK88" s="151">
        <f t="shared" si="28"/>
        <v>0</v>
      </c>
      <c r="AL88" s="151">
        <f t="shared" si="28"/>
        <v>0</v>
      </c>
      <c r="AM88" s="151">
        <f t="shared" si="28"/>
        <v>0</v>
      </c>
      <c r="AN88" s="151">
        <f t="shared" si="28"/>
        <v>0</v>
      </c>
      <c r="AO88" s="151">
        <f t="shared" si="28"/>
        <v>0</v>
      </c>
      <c r="AP88" s="151">
        <f t="shared" si="28"/>
        <v>0</v>
      </c>
      <c r="AQ88" s="151">
        <f t="shared" si="28"/>
        <v>0</v>
      </c>
      <c r="AR88" s="151">
        <f t="shared" si="28"/>
        <v>0</v>
      </c>
      <c r="AS88" s="151">
        <f t="shared" si="28"/>
        <v>0</v>
      </c>
      <c r="AT88" s="151">
        <f t="shared" si="28"/>
        <v>0</v>
      </c>
      <c r="AU88" s="151">
        <f t="shared" si="28"/>
        <v>0</v>
      </c>
      <c r="AV88" s="151">
        <f t="shared" si="28"/>
        <v>0</v>
      </c>
      <c r="AW88" s="151">
        <f t="shared" si="28"/>
        <v>0</v>
      </c>
      <c r="AX88" s="151">
        <f t="shared" si="28"/>
        <v>0</v>
      </c>
      <c r="AY88" s="151">
        <f t="shared" si="28"/>
        <v>0</v>
      </c>
      <c r="AZ88" s="151">
        <f t="shared" si="28"/>
        <v>0</v>
      </c>
      <c r="BA88" s="151">
        <f t="shared" si="28"/>
        <v>0</v>
      </c>
      <c r="BB88" s="151">
        <f t="shared" si="28"/>
        <v>0</v>
      </c>
      <c r="BC88" s="151">
        <f t="shared" si="28"/>
        <v>0</v>
      </c>
      <c r="BD88" s="151">
        <f t="shared" si="28"/>
        <v>0</v>
      </c>
      <c r="BE88" s="151">
        <f t="shared" si="28"/>
        <v>0</v>
      </c>
      <c r="BF88" s="151">
        <f t="shared" si="28"/>
        <v>0</v>
      </c>
      <c r="BG88" s="151">
        <f t="shared" si="28"/>
        <v>0</v>
      </c>
      <c r="BH88" s="151">
        <f t="shared" si="28"/>
        <v>0</v>
      </c>
      <c r="BI88" s="151">
        <f t="shared" si="28"/>
        <v>0</v>
      </c>
      <c r="BJ88" s="151">
        <f t="shared" si="28"/>
        <v>0</v>
      </c>
      <c r="BK88" s="151">
        <f t="shared" si="28"/>
        <v>0</v>
      </c>
      <c r="BL88" s="151">
        <f t="shared" si="28"/>
        <v>0</v>
      </c>
      <c r="BM88" s="151">
        <f t="shared" si="28"/>
        <v>0</v>
      </c>
      <c r="BN88" s="151">
        <f t="shared" si="28"/>
        <v>0</v>
      </c>
      <c r="BO88" s="151">
        <f t="shared" si="28"/>
        <v>0</v>
      </c>
      <c r="BP88" s="151">
        <f t="shared" si="28"/>
        <v>0</v>
      </c>
      <c r="BQ88" s="151">
        <f t="shared" si="28"/>
        <v>0</v>
      </c>
      <c r="BR88" s="151">
        <f t="shared" si="28"/>
        <v>0</v>
      </c>
      <c r="BS88" s="151">
        <f t="shared" si="28"/>
        <v>0</v>
      </c>
      <c r="BT88" s="151">
        <f t="shared" si="28"/>
        <v>0</v>
      </c>
      <c r="BU88" s="151">
        <f t="shared" si="28"/>
        <v>0</v>
      </c>
      <c r="BV88" s="151">
        <f t="shared" si="28"/>
        <v>0</v>
      </c>
      <c r="BW88" s="151">
        <f t="shared" si="28"/>
        <v>0</v>
      </c>
      <c r="BX88" s="151">
        <f aca="true" t="shared" si="29" ref="BX88:DF88">IF(BX83&lt;=$B$116,$F$116,0)</f>
        <v>0</v>
      </c>
      <c r="BY88" s="151">
        <f t="shared" si="29"/>
        <v>0</v>
      </c>
      <c r="BZ88" s="151">
        <f t="shared" si="29"/>
        <v>0</v>
      </c>
      <c r="CA88" s="151">
        <f t="shared" si="29"/>
        <v>0</v>
      </c>
      <c r="CB88" s="151">
        <f t="shared" si="29"/>
        <v>0</v>
      </c>
      <c r="CC88" s="151">
        <f t="shared" si="29"/>
        <v>0</v>
      </c>
      <c r="CD88" s="151">
        <f t="shared" si="29"/>
        <v>0</v>
      </c>
      <c r="CE88" s="151">
        <f t="shared" si="29"/>
        <v>0</v>
      </c>
      <c r="CF88" s="151">
        <f t="shared" si="29"/>
        <v>0</v>
      </c>
      <c r="CG88" s="151">
        <f t="shared" si="29"/>
        <v>0</v>
      </c>
      <c r="CH88" s="151">
        <f t="shared" si="29"/>
        <v>0</v>
      </c>
      <c r="CI88" s="151">
        <f t="shared" si="29"/>
        <v>0</v>
      </c>
      <c r="CJ88" s="151">
        <f t="shared" si="29"/>
        <v>0</v>
      </c>
      <c r="CK88" s="151">
        <f t="shared" si="29"/>
        <v>0</v>
      </c>
      <c r="CL88" s="151">
        <f t="shared" si="29"/>
        <v>0</v>
      </c>
      <c r="CM88" s="151">
        <f t="shared" si="29"/>
        <v>0</v>
      </c>
      <c r="CN88" s="151">
        <f t="shared" si="29"/>
        <v>0</v>
      </c>
      <c r="CO88" s="151">
        <f t="shared" si="29"/>
        <v>0</v>
      </c>
      <c r="CP88" s="151">
        <f t="shared" si="29"/>
        <v>0</v>
      </c>
      <c r="CQ88" s="151">
        <f t="shared" si="29"/>
        <v>0</v>
      </c>
      <c r="CR88" s="151">
        <f t="shared" si="29"/>
        <v>0</v>
      </c>
      <c r="CS88" s="151">
        <f t="shared" si="29"/>
        <v>0</v>
      </c>
      <c r="CT88" s="151">
        <f t="shared" si="29"/>
        <v>0</v>
      </c>
      <c r="CU88" s="151">
        <f t="shared" si="29"/>
        <v>0</v>
      </c>
      <c r="CV88" s="151">
        <f t="shared" si="29"/>
        <v>0</v>
      </c>
      <c r="CW88" s="151">
        <f t="shared" si="29"/>
        <v>0</v>
      </c>
      <c r="CX88" s="151">
        <f t="shared" si="29"/>
        <v>0</v>
      </c>
      <c r="CY88" s="151">
        <f t="shared" si="29"/>
        <v>0</v>
      </c>
      <c r="CZ88" s="151">
        <f t="shared" si="29"/>
        <v>0</v>
      </c>
      <c r="DA88" s="151">
        <f t="shared" si="29"/>
        <v>0</v>
      </c>
      <c r="DB88" s="151">
        <f t="shared" si="29"/>
        <v>0</v>
      </c>
      <c r="DC88" s="151">
        <f t="shared" si="29"/>
        <v>0</v>
      </c>
      <c r="DD88" s="151">
        <f t="shared" si="29"/>
        <v>0</v>
      </c>
      <c r="DE88" s="151">
        <f t="shared" si="29"/>
        <v>0</v>
      </c>
      <c r="DF88" s="151">
        <f t="shared" si="29"/>
        <v>0</v>
      </c>
    </row>
    <row r="89" spans="1:110" ht="18" customHeight="1">
      <c r="A89" s="154" t="s">
        <v>340</v>
      </c>
      <c r="B89" s="154"/>
      <c r="C89" s="100"/>
      <c r="D89" s="100"/>
      <c r="E89" s="208"/>
      <c r="F89" s="175">
        <f>SUM(F84:F88)</f>
        <v>3014.5</v>
      </c>
      <c r="G89" s="185">
        <f>SUM(G84:G88)</f>
        <v>6544.849913420025</v>
      </c>
      <c r="H89" s="209"/>
      <c r="J89" s="97" t="s">
        <v>339</v>
      </c>
      <c r="K89" s="151">
        <f>F88</f>
        <v>0</v>
      </c>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row>
    <row r="90" spans="1:110" ht="18" customHeight="1">
      <c r="A90" s="210"/>
      <c r="B90" s="18"/>
      <c r="C90" s="18"/>
      <c r="D90" s="18"/>
      <c r="E90" s="212"/>
      <c r="F90" s="213"/>
      <c r="G90" s="214"/>
      <c r="H90" s="211"/>
      <c r="J90" s="97" t="s">
        <v>341</v>
      </c>
      <c r="K90" s="151">
        <f>F95</f>
        <v>2368</v>
      </c>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c r="DB90" s="97"/>
      <c r="DC90" s="97"/>
      <c r="DD90" s="97"/>
      <c r="DE90" s="97"/>
      <c r="DF90" s="97"/>
    </row>
    <row r="91" spans="1:110" ht="18" customHeight="1">
      <c r="A91" s="401" t="s">
        <v>343</v>
      </c>
      <c r="B91" s="401"/>
      <c r="C91" s="231"/>
      <c r="D91" s="231"/>
      <c r="E91" s="409"/>
      <c r="F91" s="410"/>
      <c r="G91" s="410"/>
      <c r="H91" s="406" t="s">
        <v>363</v>
      </c>
      <c r="J91" s="97" t="s">
        <v>398</v>
      </c>
      <c r="K91" s="151">
        <v>0</v>
      </c>
      <c r="L91" s="215">
        <f>F98</f>
        <v>350</v>
      </c>
      <c r="M91" s="215">
        <f>F98</f>
        <v>350</v>
      </c>
      <c r="N91" s="215">
        <f>F98</f>
        <v>350</v>
      </c>
      <c r="O91" s="215">
        <f>F98</f>
        <v>350</v>
      </c>
      <c r="P91" s="215">
        <f>F98</f>
        <v>350</v>
      </c>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row>
    <row r="92" spans="1:110" ht="51">
      <c r="A92" s="96" t="s">
        <v>399</v>
      </c>
      <c r="B92" s="96">
        <v>1</v>
      </c>
      <c r="C92" s="97" t="s">
        <v>93</v>
      </c>
      <c r="D92" s="160">
        <f>'Buffer input prices'!D35</f>
        <v>850</v>
      </c>
      <c r="E92" s="139">
        <v>1</v>
      </c>
      <c r="F92" s="215">
        <f>E92*D92</f>
        <v>850</v>
      </c>
      <c r="G92" s="207">
        <f>F92</f>
        <v>850</v>
      </c>
      <c r="H92" s="211" t="s">
        <v>400</v>
      </c>
      <c r="J92" s="97" t="s">
        <v>401</v>
      </c>
      <c r="K92" s="97">
        <v>0</v>
      </c>
      <c r="L92" s="151">
        <f>F99</f>
        <v>66.5</v>
      </c>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c r="BZ92" s="151"/>
      <c r="CA92" s="151"/>
      <c r="CB92" s="151"/>
      <c r="CC92" s="151"/>
      <c r="CD92" s="151"/>
      <c r="CE92" s="151"/>
      <c r="CF92" s="151"/>
      <c r="CG92" s="151"/>
      <c r="CH92" s="151"/>
      <c r="CI92" s="151"/>
      <c r="CJ92" s="151"/>
      <c r="CK92" s="151"/>
      <c r="CL92" s="151"/>
      <c r="CM92" s="151"/>
      <c r="CN92" s="151"/>
      <c r="CO92" s="151"/>
      <c r="CP92" s="151"/>
      <c r="CQ92" s="151"/>
      <c r="CR92" s="151"/>
      <c r="CS92" s="151"/>
      <c r="CT92" s="151"/>
      <c r="CU92" s="151"/>
      <c r="CV92" s="151"/>
      <c r="CW92" s="151"/>
      <c r="CX92" s="151"/>
      <c r="CY92" s="151"/>
      <c r="CZ92" s="151"/>
      <c r="DA92" s="151"/>
      <c r="DB92" s="151"/>
      <c r="DC92" s="151"/>
      <c r="DD92" s="151"/>
      <c r="DE92" s="151"/>
      <c r="DF92" s="151"/>
    </row>
    <row r="93" spans="1:110" ht="76.5">
      <c r="A93" s="97" t="s">
        <v>402</v>
      </c>
      <c r="B93" s="97">
        <v>1</v>
      </c>
      <c r="C93" s="97" t="s">
        <v>93</v>
      </c>
      <c r="D93" s="160">
        <f>'Buffer input prices'!D32</f>
        <v>950</v>
      </c>
      <c r="E93" s="139">
        <v>1</v>
      </c>
      <c r="F93" s="215">
        <f>E93*D93</f>
        <v>950</v>
      </c>
      <c r="G93" s="207">
        <f>F93</f>
        <v>950</v>
      </c>
      <c r="H93" s="211" t="s">
        <v>403</v>
      </c>
      <c r="J93" s="190" t="s">
        <v>344</v>
      </c>
      <c r="K93" s="135">
        <f aca="true" t="shared" si="30" ref="K93:BV93">SUM(K85:K89)-SUM(K90:K92)</f>
        <v>230</v>
      </c>
      <c r="L93" s="135">
        <f t="shared" si="30"/>
        <v>230</v>
      </c>
      <c r="M93" s="135">
        <f t="shared" si="30"/>
        <v>230</v>
      </c>
      <c r="N93" s="135">
        <f t="shared" si="30"/>
        <v>230</v>
      </c>
      <c r="O93" s="135">
        <f t="shared" si="30"/>
        <v>230</v>
      </c>
      <c r="P93" s="135">
        <f t="shared" si="30"/>
        <v>230</v>
      </c>
      <c r="Q93" s="135">
        <f t="shared" si="30"/>
        <v>230</v>
      </c>
      <c r="R93" s="135">
        <f t="shared" si="30"/>
        <v>230</v>
      </c>
      <c r="S93" s="135">
        <f t="shared" si="30"/>
        <v>230</v>
      </c>
      <c r="T93" s="135">
        <f t="shared" si="30"/>
        <v>230</v>
      </c>
      <c r="U93" s="135">
        <f t="shared" si="30"/>
        <v>230</v>
      </c>
      <c r="V93" s="135">
        <f t="shared" si="30"/>
        <v>230</v>
      </c>
      <c r="W93" s="135">
        <f t="shared" si="30"/>
        <v>230</v>
      </c>
      <c r="X93" s="135">
        <f t="shared" si="30"/>
        <v>230</v>
      </c>
      <c r="Y93" s="135">
        <f t="shared" si="30"/>
        <v>230</v>
      </c>
      <c r="Z93" s="135">
        <f t="shared" si="30"/>
        <v>0</v>
      </c>
      <c r="AA93" s="135">
        <f t="shared" si="30"/>
        <v>0</v>
      </c>
      <c r="AB93" s="135">
        <f t="shared" si="30"/>
        <v>0</v>
      </c>
      <c r="AC93" s="135">
        <f t="shared" si="30"/>
        <v>0</v>
      </c>
      <c r="AD93" s="135">
        <f t="shared" si="30"/>
        <v>0</v>
      </c>
      <c r="AE93" s="135">
        <f t="shared" si="30"/>
        <v>0</v>
      </c>
      <c r="AF93" s="135">
        <f t="shared" si="30"/>
        <v>0</v>
      </c>
      <c r="AG93" s="135">
        <f t="shared" si="30"/>
        <v>0</v>
      </c>
      <c r="AH93" s="135">
        <f t="shared" si="30"/>
        <v>0</v>
      </c>
      <c r="AI93" s="135">
        <f t="shared" si="30"/>
        <v>0</v>
      </c>
      <c r="AJ93" s="135">
        <f t="shared" si="30"/>
        <v>0</v>
      </c>
      <c r="AK93" s="135">
        <f t="shared" si="30"/>
        <v>0</v>
      </c>
      <c r="AL93" s="135">
        <f t="shared" si="30"/>
        <v>0</v>
      </c>
      <c r="AM93" s="135">
        <f t="shared" si="30"/>
        <v>0</v>
      </c>
      <c r="AN93" s="135">
        <f t="shared" si="30"/>
        <v>0</v>
      </c>
      <c r="AO93" s="135">
        <f t="shared" si="30"/>
        <v>0</v>
      </c>
      <c r="AP93" s="135">
        <f t="shared" si="30"/>
        <v>0</v>
      </c>
      <c r="AQ93" s="135">
        <f t="shared" si="30"/>
        <v>0</v>
      </c>
      <c r="AR93" s="135">
        <f t="shared" si="30"/>
        <v>0</v>
      </c>
      <c r="AS93" s="135">
        <f t="shared" si="30"/>
        <v>0</v>
      </c>
      <c r="AT93" s="135">
        <f t="shared" si="30"/>
        <v>0</v>
      </c>
      <c r="AU93" s="135">
        <f t="shared" si="30"/>
        <v>0</v>
      </c>
      <c r="AV93" s="135">
        <f t="shared" si="30"/>
        <v>0</v>
      </c>
      <c r="AW93" s="135">
        <f t="shared" si="30"/>
        <v>0</v>
      </c>
      <c r="AX93" s="135">
        <f t="shared" si="30"/>
        <v>0</v>
      </c>
      <c r="AY93" s="135">
        <f t="shared" si="30"/>
        <v>0</v>
      </c>
      <c r="AZ93" s="135">
        <f t="shared" si="30"/>
        <v>0</v>
      </c>
      <c r="BA93" s="135">
        <f t="shared" si="30"/>
        <v>0</v>
      </c>
      <c r="BB93" s="135">
        <f t="shared" si="30"/>
        <v>0</v>
      </c>
      <c r="BC93" s="135">
        <f t="shared" si="30"/>
        <v>0</v>
      </c>
      <c r="BD93" s="135">
        <f t="shared" si="30"/>
        <v>0</v>
      </c>
      <c r="BE93" s="135">
        <f t="shared" si="30"/>
        <v>0</v>
      </c>
      <c r="BF93" s="135">
        <f t="shared" si="30"/>
        <v>0</v>
      </c>
      <c r="BG93" s="135">
        <f t="shared" si="30"/>
        <v>0</v>
      </c>
      <c r="BH93" s="135">
        <f t="shared" si="30"/>
        <v>0</v>
      </c>
      <c r="BI93" s="135">
        <f t="shared" si="30"/>
        <v>0</v>
      </c>
      <c r="BJ93" s="135">
        <f t="shared" si="30"/>
        <v>0</v>
      </c>
      <c r="BK93" s="135">
        <f t="shared" si="30"/>
        <v>0</v>
      </c>
      <c r="BL93" s="135">
        <f t="shared" si="30"/>
        <v>0</v>
      </c>
      <c r="BM93" s="135">
        <f t="shared" si="30"/>
        <v>0</v>
      </c>
      <c r="BN93" s="135">
        <f t="shared" si="30"/>
        <v>0</v>
      </c>
      <c r="BO93" s="135">
        <f t="shared" si="30"/>
        <v>0</v>
      </c>
      <c r="BP93" s="135">
        <f t="shared" si="30"/>
        <v>0</v>
      </c>
      <c r="BQ93" s="135">
        <f t="shared" si="30"/>
        <v>0</v>
      </c>
      <c r="BR93" s="135">
        <f t="shared" si="30"/>
        <v>0</v>
      </c>
      <c r="BS93" s="135">
        <f t="shared" si="30"/>
        <v>0</v>
      </c>
      <c r="BT93" s="135">
        <f t="shared" si="30"/>
        <v>0</v>
      </c>
      <c r="BU93" s="135">
        <f t="shared" si="30"/>
        <v>0</v>
      </c>
      <c r="BV93" s="135">
        <f t="shared" si="30"/>
        <v>0</v>
      </c>
      <c r="BW93" s="135">
        <f aca="true" t="shared" si="31" ref="BW93:DB93">SUM(BW85:BW89)-SUM(BW90:BW92)</f>
        <v>0</v>
      </c>
      <c r="BX93" s="135">
        <f t="shared" si="31"/>
        <v>0</v>
      </c>
      <c r="BY93" s="135">
        <f t="shared" si="31"/>
        <v>0</v>
      </c>
      <c r="BZ93" s="135">
        <f t="shared" si="31"/>
        <v>0</v>
      </c>
      <c r="CA93" s="135">
        <f t="shared" si="31"/>
        <v>0</v>
      </c>
      <c r="CB93" s="135">
        <f t="shared" si="31"/>
        <v>0</v>
      </c>
      <c r="CC93" s="135">
        <f t="shared" si="31"/>
        <v>0</v>
      </c>
      <c r="CD93" s="135">
        <f t="shared" si="31"/>
        <v>0</v>
      </c>
      <c r="CE93" s="135">
        <f t="shared" si="31"/>
        <v>0</v>
      </c>
      <c r="CF93" s="135">
        <f t="shared" si="31"/>
        <v>0</v>
      </c>
      <c r="CG93" s="135">
        <f t="shared" si="31"/>
        <v>0</v>
      </c>
      <c r="CH93" s="135">
        <f t="shared" si="31"/>
        <v>0</v>
      </c>
      <c r="CI93" s="135">
        <f t="shared" si="31"/>
        <v>0</v>
      </c>
      <c r="CJ93" s="135">
        <f t="shared" si="31"/>
        <v>0</v>
      </c>
      <c r="CK93" s="135">
        <f t="shared" si="31"/>
        <v>0</v>
      </c>
      <c r="CL93" s="135">
        <f t="shared" si="31"/>
        <v>0</v>
      </c>
      <c r="CM93" s="135">
        <f t="shared" si="31"/>
        <v>0</v>
      </c>
      <c r="CN93" s="135">
        <f t="shared" si="31"/>
        <v>0</v>
      </c>
      <c r="CO93" s="135">
        <f t="shared" si="31"/>
        <v>0</v>
      </c>
      <c r="CP93" s="135">
        <f t="shared" si="31"/>
        <v>0</v>
      </c>
      <c r="CQ93" s="135">
        <f t="shared" si="31"/>
        <v>0</v>
      </c>
      <c r="CR93" s="135">
        <f t="shared" si="31"/>
        <v>0</v>
      </c>
      <c r="CS93" s="135">
        <f t="shared" si="31"/>
        <v>0</v>
      </c>
      <c r="CT93" s="135">
        <f t="shared" si="31"/>
        <v>0</v>
      </c>
      <c r="CU93" s="135">
        <f t="shared" si="31"/>
        <v>0</v>
      </c>
      <c r="CV93" s="135">
        <f t="shared" si="31"/>
        <v>0</v>
      </c>
      <c r="CW93" s="135">
        <f t="shared" si="31"/>
        <v>0</v>
      </c>
      <c r="CX93" s="135">
        <f t="shared" si="31"/>
        <v>0</v>
      </c>
      <c r="CY93" s="135">
        <f t="shared" si="31"/>
        <v>0</v>
      </c>
      <c r="CZ93" s="135">
        <f t="shared" si="31"/>
        <v>0</v>
      </c>
      <c r="DA93" s="135">
        <f t="shared" si="31"/>
        <v>0</v>
      </c>
      <c r="DB93" s="135">
        <f t="shared" si="31"/>
        <v>0</v>
      </c>
      <c r="DC93" s="135">
        <f>SUM(DC85:DC89)-SUM(DC90:DC92)</f>
        <v>0</v>
      </c>
      <c r="DD93" s="135">
        <f>SUM(DD85:DD89)-SUM(DD90:DD92)</f>
        <v>0</v>
      </c>
      <c r="DE93" s="135">
        <f>SUM(DE85:DE89)-SUM(DE90:DE92)</f>
        <v>0</v>
      </c>
      <c r="DF93" s="135">
        <f>SUM(DF85:DF89)-SUM(DF90:DF92)</f>
        <v>0</v>
      </c>
    </row>
    <row r="94" spans="1:110" ht="76.5">
      <c r="A94" s="97" t="s">
        <v>404</v>
      </c>
      <c r="B94" s="97">
        <v>1</v>
      </c>
      <c r="C94" s="97" t="s">
        <v>93</v>
      </c>
      <c r="D94" s="160">
        <f>'Buffer input prices'!D33</f>
        <v>568</v>
      </c>
      <c r="E94" s="139">
        <v>1</v>
      </c>
      <c r="F94" s="215">
        <f>E94*D94</f>
        <v>568</v>
      </c>
      <c r="G94" s="207">
        <f>F94</f>
        <v>568</v>
      </c>
      <c r="H94" s="211" t="s">
        <v>405</v>
      </c>
      <c r="J94" s="216" t="s">
        <v>366</v>
      </c>
      <c r="K94" s="162"/>
      <c r="N94" s="168" t="s">
        <v>368</v>
      </c>
      <c r="O94" s="169"/>
      <c r="P94" s="169"/>
      <c r="Q94" s="193"/>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row>
    <row r="95" spans="1:16" ht="18" customHeight="1">
      <c r="A95" s="100" t="s">
        <v>346</v>
      </c>
      <c r="B95" s="97"/>
      <c r="C95" s="97"/>
      <c r="D95" s="160"/>
      <c r="E95" s="139"/>
      <c r="F95" s="175">
        <f>SUM(F92:F94)</f>
        <v>2368</v>
      </c>
      <c r="G95" s="185">
        <f>SUM(G92:G94)</f>
        <v>2368</v>
      </c>
      <c r="H95" s="211"/>
      <c r="J95" s="10"/>
      <c r="K95" s="162"/>
      <c r="N95" s="176">
        <f>K85</f>
        <v>2368</v>
      </c>
      <c r="O95" s="177" t="s">
        <v>332</v>
      </c>
      <c r="P95" s="162"/>
    </row>
    <row r="96" spans="1:15" ht="18" customHeight="1">
      <c r="A96" s="217"/>
      <c r="B96" s="172"/>
      <c r="C96" s="172"/>
      <c r="D96" s="218"/>
      <c r="E96" s="219"/>
      <c r="F96" s="219"/>
      <c r="G96" s="220"/>
      <c r="H96" s="211"/>
      <c r="J96" s="20" t="s">
        <v>466</v>
      </c>
      <c r="K96" s="175">
        <f>NPV('Farm and Buffer Assumptions'!D20,K93:AD93)</f>
        <v>2557.2291093986673</v>
      </c>
      <c r="N96" s="178">
        <f>NPV('Farm and Buffer Assumptions'!D20,K86:P86)</f>
        <v>1498.2094383227613</v>
      </c>
      <c r="O96" s="18" t="s">
        <v>349</v>
      </c>
    </row>
    <row r="97" spans="1:15" ht="18" customHeight="1">
      <c r="A97" s="401" t="s">
        <v>348</v>
      </c>
      <c r="B97" s="401"/>
      <c r="C97" s="231"/>
      <c r="D97" s="231"/>
      <c r="E97" s="409"/>
      <c r="F97" s="378"/>
      <c r="G97" s="409"/>
      <c r="H97" s="406"/>
      <c r="J97" s="20" t="s">
        <v>467</v>
      </c>
      <c r="K97" s="175">
        <f>NPV('Farm and Buffer Assumptions'!D20,K93:AN93)</f>
        <v>2557.2291093986673</v>
      </c>
      <c r="N97" s="178">
        <f>NPV('Farm and Buffer Assumptions'!D20,K87:L87)</f>
        <v>61.482988165680474</v>
      </c>
      <c r="O97" s="177" t="s">
        <v>395</v>
      </c>
    </row>
    <row r="98" spans="1:25" ht="38.25">
      <c r="A98" s="97" t="s">
        <v>350</v>
      </c>
      <c r="B98" s="97">
        <f>'Farm and Buffer Assumptions'!D40</f>
        <v>5</v>
      </c>
      <c r="C98" s="97" t="s">
        <v>93</v>
      </c>
      <c r="D98" s="160">
        <f>'Buffer input prices'!D37</f>
        <v>350</v>
      </c>
      <c r="E98" s="139">
        <v>1</v>
      </c>
      <c r="F98" s="215">
        <f>E98*D98</f>
        <v>350</v>
      </c>
      <c r="G98" s="207">
        <f>(-PV('Farm and Buffer Assumptions'!D20,B98,F98))</f>
        <v>1558.137815855674</v>
      </c>
      <c r="H98" s="211" t="s">
        <v>406</v>
      </c>
      <c r="J98" s="20" t="s">
        <v>468</v>
      </c>
      <c r="K98" s="175">
        <f>NPV('Farm and Buffer Assumptions'!D20,K93:AX93)</f>
        <v>2557.2291093986673</v>
      </c>
      <c r="L98" s="1"/>
      <c r="M98" s="1"/>
      <c r="N98" s="179">
        <f>NPV('Farm and Buffer Assumptions'!D20,K88:Y88)</f>
        <v>2557.2291093986673</v>
      </c>
      <c r="O98" s="177" t="s">
        <v>336</v>
      </c>
      <c r="P98" s="1"/>
      <c r="Q98" s="1"/>
      <c r="R98" s="1"/>
      <c r="S98" s="1"/>
      <c r="T98" s="1"/>
      <c r="U98" s="1"/>
      <c r="V98" s="1"/>
      <c r="W98" s="1"/>
      <c r="X98" s="1"/>
      <c r="Y98" s="1"/>
    </row>
    <row r="99" spans="1:15" ht="18" customHeight="1">
      <c r="A99" s="97" t="s">
        <v>407</v>
      </c>
      <c r="B99" s="97">
        <v>2</v>
      </c>
      <c r="C99" s="97" t="s">
        <v>93</v>
      </c>
      <c r="D99" s="160">
        <f>D93</f>
        <v>950</v>
      </c>
      <c r="E99" s="139">
        <v>0.07</v>
      </c>
      <c r="F99" s="215">
        <f>E99*D99</f>
        <v>66.5</v>
      </c>
      <c r="G99" s="207">
        <f>F99/(1+'Farm and Buffer Assumptions'!D20)^B99</f>
        <v>61.48298816568047</v>
      </c>
      <c r="H99" s="211" t="s">
        <v>408</v>
      </c>
      <c r="J99" s="20" t="s">
        <v>469</v>
      </c>
      <c r="K99" s="175">
        <f>NPV('Farm and Buffer Assumptions'!D20,K93:BH93)</f>
        <v>2557.2291093986673</v>
      </c>
      <c r="N99" s="178">
        <f>K89</f>
        <v>0</v>
      </c>
      <c r="O99" s="177" t="s">
        <v>338</v>
      </c>
    </row>
    <row r="100" spans="1:15" ht="18" customHeight="1">
      <c r="A100" s="100" t="s">
        <v>353</v>
      </c>
      <c r="B100" s="97"/>
      <c r="C100" s="97"/>
      <c r="D100" s="160"/>
      <c r="E100" s="139"/>
      <c r="F100" s="175">
        <f>SUM(F98:F99)</f>
        <v>416.5</v>
      </c>
      <c r="G100" s="185">
        <f>SUM(G98:G99)</f>
        <v>1619.6208040213546</v>
      </c>
      <c r="H100" s="211"/>
      <c r="J100" s="20" t="s">
        <v>470</v>
      </c>
      <c r="K100" s="175">
        <f>NPV('Farm and Buffer Assumptions'!D20,K93:BR93)</f>
        <v>2557.2291093986673</v>
      </c>
      <c r="N100" s="181">
        <f>K90</f>
        <v>2368</v>
      </c>
      <c r="O100" s="182" t="s">
        <v>354</v>
      </c>
    </row>
    <row r="101" spans="1:15" ht="18" customHeight="1">
      <c r="A101" s="217"/>
      <c r="B101" s="172"/>
      <c r="C101" s="172"/>
      <c r="D101" s="218"/>
      <c r="E101" s="219"/>
      <c r="F101" s="221"/>
      <c r="G101" s="222"/>
      <c r="H101" s="211"/>
      <c r="J101" s="20" t="s">
        <v>471</v>
      </c>
      <c r="K101" s="175">
        <f>NPV('Farm and Buffer Assumptions'!D20,K93:CB93)</f>
        <v>2557.2291093986673</v>
      </c>
      <c r="N101" s="178">
        <f>NPV('Farm and Buffer Assumptions'!D20,K91:P91)</f>
        <v>1498.2094383227613</v>
      </c>
      <c r="O101" t="s">
        <v>409</v>
      </c>
    </row>
    <row r="102" spans="1:15" ht="18" customHeight="1">
      <c r="A102" s="154" t="s">
        <v>355</v>
      </c>
      <c r="B102" s="154"/>
      <c r="C102" s="154"/>
      <c r="D102" s="183"/>
      <c r="E102" s="184"/>
      <c r="F102" s="223">
        <f>F95+F100</f>
        <v>2784.5</v>
      </c>
      <c r="G102" s="224">
        <f>G95+G100</f>
        <v>3987.6208040213546</v>
      </c>
      <c r="H102" s="225"/>
      <c r="J102" s="20" t="s">
        <v>472</v>
      </c>
      <c r="K102" s="175">
        <f>NPV('Farm and Buffer Assumptions'!D20,K93:CL93)</f>
        <v>2557.2291093986673</v>
      </c>
      <c r="N102" s="178">
        <f>NPV('Farm and Buffer Assumptions'!D20,K92:L92)</f>
        <v>61.482988165680474</v>
      </c>
      <c r="O102" t="s">
        <v>410</v>
      </c>
    </row>
    <row r="103" spans="1:14" ht="18" customHeight="1">
      <c r="A103" s="217"/>
      <c r="B103" s="172"/>
      <c r="C103" s="172"/>
      <c r="D103" s="172"/>
      <c r="E103" s="219"/>
      <c r="F103" s="173"/>
      <c r="G103" s="220"/>
      <c r="H103" s="171"/>
      <c r="J103" s="20" t="s">
        <v>473</v>
      </c>
      <c r="K103" s="175">
        <f>NPV('Farm and Buffer Assumptions'!D20,K93:CV93)</f>
        <v>2557.2291093986673</v>
      </c>
      <c r="N103" s="226"/>
    </row>
    <row r="104" spans="1:15" ht="18" customHeight="1">
      <c r="A104" s="437" t="s">
        <v>357</v>
      </c>
      <c r="B104" s="437"/>
      <c r="C104" s="437"/>
      <c r="D104" s="437"/>
      <c r="E104" s="438"/>
      <c r="F104" s="439"/>
      <c r="G104" s="439">
        <f>G89-G102</f>
        <v>2557.22910939867</v>
      </c>
      <c r="H104" s="440"/>
      <c r="J104" s="20" t="s">
        <v>474</v>
      </c>
      <c r="K104" s="175">
        <f>NPV('Farm and Buffer Assumptions'!D20,K93:DF93)</f>
        <v>2557.2291093986673</v>
      </c>
      <c r="N104" s="227">
        <f>SUM(N95:N99)-SUM(N100:N102)</f>
        <v>2557.229109398668</v>
      </c>
      <c r="O104" t="s">
        <v>358</v>
      </c>
    </row>
    <row r="105" spans="1:8" ht="37.5" customHeight="1">
      <c r="A105" s="936" t="s">
        <v>480</v>
      </c>
      <c r="B105" s="937"/>
      <c r="C105" s="937"/>
      <c r="D105" s="937"/>
      <c r="E105" s="937"/>
      <c r="F105" s="937"/>
      <c r="G105" s="937"/>
      <c r="H105" s="937"/>
    </row>
    <row r="106" spans="1:11" ht="29.25" customHeight="1">
      <c r="A106" s="939" t="s">
        <v>411</v>
      </c>
      <c r="B106" s="932"/>
      <c r="C106" s="932"/>
      <c r="D106" s="932"/>
      <c r="E106" s="932"/>
      <c r="F106" s="932"/>
      <c r="G106" s="932"/>
      <c r="H106" s="932"/>
      <c r="J106" t="s">
        <v>360</v>
      </c>
      <c r="K106" s="188">
        <f>K96-G104</f>
        <v>0</v>
      </c>
    </row>
    <row r="107" spans="1:8" ht="22.5" customHeight="1">
      <c r="A107" s="938" t="s">
        <v>361</v>
      </c>
      <c r="B107" s="932"/>
      <c r="C107" s="932"/>
      <c r="D107" s="932"/>
      <c r="E107" s="932"/>
      <c r="F107" s="932"/>
      <c r="G107" s="932"/>
      <c r="H107" s="932"/>
    </row>
    <row r="108" spans="1:8" ht="26.25" customHeight="1">
      <c r="A108" s="932" t="s">
        <v>412</v>
      </c>
      <c r="B108" s="932"/>
      <c r="C108" s="932"/>
      <c r="D108" s="932"/>
      <c r="E108" s="932"/>
      <c r="F108" s="932"/>
      <c r="G108" s="932"/>
      <c r="H108" s="932"/>
    </row>
    <row r="109" spans="1:8" ht="30.75" customHeight="1">
      <c r="A109" s="932" t="s">
        <v>477</v>
      </c>
      <c r="B109" s="932"/>
      <c r="C109" s="932"/>
      <c r="D109" s="932"/>
      <c r="E109" s="932"/>
      <c r="F109" s="932"/>
      <c r="G109" s="932"/>
      <c r="H109" s="932"/>
    </row>
    <row r="110" spans="1:8" ht="24.75" customHeight="1" thickBot="1">
      <c r="A110" s="1"/>
      <c r="B110" s="1"/>
      <c r="C110" s="1"/>
      <c r="D110" s="1"/>
      <c r="E110" s="1"/>
      <c r="G110" s="130"/>
      <c r="H110" s="1"/>
    </row>
    <row r="111" spans="1:11" ht="57" thickBot="1">
      <c r="A111" s="393" t="s">
        <v>413</v>
      </c>
      <c r="B111" s="394" t="s">
        <v>327</v>
      </c>
      <c r="C111" s="380" t="s">
        <v>83</v>
      </c>
      <c r="D111" s="381" t="s">
        <v>84</v>
      </c>
      <c r="E111" s="395" t="s">
        <v>85</v>
      </c>
      <c r="F111" s="381" t="s">
        <v>86</v>
      </c>
      <c r="G111" s="395" t="s">
        <v>328</v>
      </c>
      <c r="H111" s="380" t="s">
        <v>329</v>
      </c>
      <c r="K111" t="s">
        <v>325</v>
      </c>
    </row>
    <row r="112" spans="1:110" ht="18" customHeight="1" thickBot="1">
      <c r="A112" s="397" t="s">
        <v>393</v>
      </c>
      <c r="B112" s="398"/>
      <c r="C112" s="386"/>
      <c r="D112" s="387"/>
      <c r="E112" s="399"/>
      <c r="F112" s="387"/>
      <c r="G112" s="399"/>
      <c r="H112" s="400"/>
      <c r="J112" s="150" t="s">
        <v>330</v>
      </c>
      <c r="K112" s="97">
        <v>1</v>
      </c>
      <c r="L112" s="97">
        <v>2</v>
      </c>
      <c r="M112" s="97">
        <v>3</v>
      </c>
      <c r="N112" s="97">
        <v>4</v>
      </c>
      <c r="O112" s="97">
        <v>5</v>
      </c>
      <c r="P112" s="97">
        <v>6</v>
      </c>
      <c r="Q112" s="97">
        <v>7</v>
      </c>
      <c r="R112" s="97">
        <v>8</v>
      </c>
      <c r="S112" s="97">
        <v>9</v>
      </c>
      <c r="T112" s="97">
        <v>10</v>
      </c>
      <c r="U112" s="97">
        <v>11</v>
      </c>
      <c r="V112" s="97">
        <v>12</v>
      </c>
      <c r="W112" s="97">
        <v>13</v>
      </c>
      <c r="X112" s="97">
        <v>14</v>
      </c>
      <c r="Y112" s="97">
        <v>15</v>
      </c>
      <c r="Z112" s="95">
        <v>16</v>
      </c>
      <c r="AA112" s="95">
        <v>17</v>
      </c>
      <c r="AB112" s="95">
        <v>18</v>
      </c>
      <c r="AC112" s="95">
        <v>19</v>
      </c>
      <c r="AD112" s="95">
        <v>20</v>
      </c>
      <c r="AE112" s="95">
        <v>21</v>
      </c>
      <c r="AF112" s="95">
        <v>22</v>
      </c>
      <c r="AG112" s="95">
        <v>23</v>
      </c>
      <c r="AH112" s="95">
        <v>24</v>
      </c>
      <c r="AI112" s="95">
        <v>25</v>
      </c>
      <c r="AJ112" s="95">
        <v>26</v>
      </c>
      <c r="AK112" s="95">
        <v>27</v>
      </c>
      <c r="AL112" s="95">
        <v>28</v>
      </c>
      <c r="AM112" s="95">
        <v>29</v>
      </c>
      <c r="AN112" s="95">
        <v>30</v>
      </c>
      <c r="AO112" s="95">
        <v>31</v>
      </c>
      <c r="AP112" s="95">
        <v>32</v>
      </c>
      <c r="AQ112" s="95">
        <v>33</v>
      </c>
      <c r="AR112" s="95">
        <v>34</v>
      </c>
      <c r="AS112" s="95">
        <v>35</v>
      </c>
      <c r="AT112" s="95">
        <v>36</v>
      </c>
      <c r="AU112" s="95">
        <v>37</v>
      </c>
      <c r="AV112" s="95">
        <v>38</v>
      </c>
      <c r="AW112" s="95">
        <v>39</v>
      </c>
      <c r="AX112" s="95">
        <v>40</v>
      </c>
      <c r="AY112" s="95">
        <v>41</v>
      </c>
      <c r="AZ112" s="95">
        <v>42</v>
      </c>
      <c r="BA112" s="95">
        <v>43</v>
      </c>
      <c r="BB112" s="95">
        <v>44</v>
      </c>
      <c r="BC112" s="95">
        <v>45</v>
      </c>
      <c r="BD112" s="95">
        <v>46</v>
      </c>
      <c r="BE112" s="95">
        <v>47</v>
      </c>
      <c r="BF112" s="95">
        <v>48</v>
      </c>
      <c r="BG112" s="95">
        <v>49</v>
      </c>
      <c r="BH112" s="95">
        <v>50</v>
      </c>
      <c r="BI112" s="95">
        <v>51</v>
      </c>
      <c r="BJ112" s="95">
        <v>52</v>
      </c>
      <c r="BK112" s="95">
        <v>53</v>
      </c>
      <c r="BL112" s="95">
        <v>54</v>
      </c>
      <c r="BM112" s="95">
        <v>55</v>
      </c>
      <c r="BN112" s="95">
        <v>56</v>
      </c>
      <c r="BO112" s="95">
        <v>57</v>
      </c>
      <c r="BP112" s="95">
        <v>58</v>
      </c>
      <c r="BQ112" s="95">
        <v>59</v>
      </c>
      <c r="BR112" s="95">
        <v>60</v>
      </c>
      <c r="BS112" s="95">
        <v>61</v>
      </c>
      <c r="BT112" s="95">
        <v>62</v>
      </c>
      <c r="BU112" s="95">
        <v>63</v>
      </c>
      <c r="BV112" s="95">
        <v>64</v>
      </c>
      <c r="BW112" s="95">
        <v>65</v>
      </c>
      <c r="BX112" s="95">
        <v>66</v>
      </c>
      <c r="BY112" s="95">
        <v>67</v>
      </c>
      <c r="BZ112" s="95">
        <v>68</v>
      </c>
      <c r="CA112" s="95">
        <v>69</v>
      </c>
      <c r="CB112" s="95">
        <v>70</v>
      </c>
      <c r="CC112" s="95">
        <v>71</v>
      </c>
      <c r="CD112" s="95">
        <v>72</v>
      </c>
      <c r="CE112" s="95">
        <v>73</v>
      </c>
      <c r="CF112" s="95">
        <v>74</v>
      </c>
      <c r="CG112" s="95">
        <v>75</v>
      </c>
      <c r="CH112" s="95">
        <v>76</v>
      </c>
      <c r="CI112" s="95">
        <v>77</v>
      </c>
      <c r="CJ112" s="95">
        <v>78</v>
      </c>
      <c r="CK112" s="95">
        <v>79</v>
      </c>
      <c r="CL112" s="95">
        <v>80</v>
      </c>
      <c r="CM112" s="95">
        <v>81</v>
      </c>
      <c r="CN112" s="95">
        <v>82</v>
      </c>
      <c r="CO112" s="95">
        <v>83</v>
      </c>
      <c r="CP112" s="95">
        <v>84</v>
      </c>
      <c r="CQ112" s="95">
        <v>85</v>
      </c>
      <c r="CR112" s="95">
        <v>86</v>
      </c>
      <c r="CS112" s="95">
        <v>87</v>
      </c>
      <c r="CT112" s="95">
        <v>88</v>
      </c>
      <c r="CU112" s="95">
        <v>89</v>
      </c>
      <c r="CV112" s="95">
        <v>90</v>
      </c>
      <c r="CW112" s="95">
        <v>91</v>
      </c>
      <c r="CX112" s="95">
        <v>92</v>
      </c>
      <c r="CY112" s="95">
        <v>93</v>
      </c>
      <c r="CZ112" s="95">
        <v>94</v>
      </c>
      <c r="DA112" s="95">
        <v>95</v>
      </c>
      <c r="DB112" s="95">
        <v>96</v>
      </c>
      <c r="DC112" s="95">
        <v>97</v>
      </c>
      <c r="DD112" s="95">
        <v>98</v>
      </c>
      <c r="DE112" s="95">
        <v>99</v>
      </c>
      <c r="DF112" s="95">
        <v>100</v>
      </c>
    </row>
    <row r="113" spans="1:110" ht="18" customHeight="1" thickBot="1">
      <c r="A113" s="96" t="s">
        <v>332</v>
      </c>
      <c r="B113" s="97">
        <v>1</v>
      </c>
      <c r="C113" s="97" t="s">
        <v>93</v>
      </c>
      <c r="D113" s="97">
        <f>IF('Farm and Buffer Assumptions'!D65=1,F124*'Farm and Buffer Assumptions'!D38,0)</f>
        <v>2368</v>
      </c>
      <c r="E113" s="139">
        <v>1</v>
      </c>
      <c r="F113" s="151">
        <f>E113*D113</f>
        <v>2368</v>
      </c>
      <c r="G113" s="152">
        <f>F113</f>
        <v>2368</v>
      </c>
      <c r="H113" s="153"/>
      <c r="J113" s="97" t="s">
        <v>331</v>
      </c>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c r="CO113" s="97"/>
      <c r="CP113" s="97"/>
      <c r="CQ113" s="97"/>
      <c r="CR113" s="97"/>
      <c r="CS113" s="97"/>
      <c r="CT113" s="97"/>
      <c r="CU113" s="97"/>
      <c r="CV113" s="97"/>
      <c r="CW113" s="97"/>
      <c r="CX113" s="97"/>
      <c r="CY113" s="97"/>
      <c r="CZ113" s="97"/>
      <c r="DA113" s="97"/>
      <c r="DB113" s="97"/>
      <c r="DC113" s="97"/>
      <c r="DD113" s="97"/>
      <c r="DE113" s="97"/>
      <c r="DF113" s="97"/>
    </row>
    <row r="114" spans="1:110" ht="18" customHeight="1" thickBot="1">
      <c r="A114" s="96" t="s">
        <v>394</v>
      </c>
      <c r="B114" s="97">
        <f>'Farm and Buffer Assumptions'!D40</f>
        <v>5</v>
      </c>
      <c r="C114" s="97" t="s">
        <v>93</v>
      </c>
      <c r="D114" s="97">
        <f>IF('Farm and Buffer Assumptions'!D66=1,F127*'Farm and Buffer Assumptions'!D39,0)</f>
        <v>350</v>
      </c>
      <c r="E114" s="139">
        <v>1</v>
      </c>
      <c r="F114" s="151">
        <f>E114*D114</f>
        <v>350</v>
      </c>
      <c r="G114" s="228">
        <f>(-PV('Farm and Buffer Assumptions'!D20,B114,F114))</f>
        <v>1558.137815855674</v>
      </c>
      <c r="H114" s="229"/>
      <c r="J114" s="97" t="s">
        <v>333</v>
      </c>
      <c r="K114" s="151">
        <f>F113</f>
        <v>2368</v>
      </c>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97"/>
      <c r="CR114" s="97"/>
      <c r="CS114" s="97"/>
      <c r="CT114" s="97"/>
      <c r="CU114" s="97"/>
      <c r="CV114" s="97"/>
      <c r="CW114" s="97"/>
      <c r="CX114" s="97"/>
      <c r="CY114" s="97"/>
      <c r="CZ114" s="97"/>
      <c r="DA114" s="97"/>
      <c r="DB114" s="97"/>
      <c r="DC114" s="97"/>
      <c r="DD114" s="97"/>
      <c r="DE114" s="97"/>
      <c r="DF114" s="97"/>
    </row>
    <row r="115" spans="1:110" ht="18" customHeight="1" thickBot="1">
      <c r="A115" s="96" t="s">
        <v>395</v>
      </c>
      <c r="B115" s="97">
        <v>2</v>
      </c>
      <c r="C115" s="97" t="s">
        <v>93</v>
      </c>
      <c r="D115" s="97">
        <f>IF('Farm and Buffer Assumptions'!D66=1,F128*'Farm and Buffer Assumptions'!D39,0)</f>
        <v>95</v>
      </c>
      <c r="E115" s="139">
        <v>1</v>
      </c>
      <c r="F115" s="151">
        <f>E115*D115</f>
        <v>95</v>
      </c>
      <c r="G115" s="207">
        <f>F115/(1+'Farm and Buffer Assumptions'!D20)^B115</f>
        <v>87.83284023668638</v>
      </c>
      <c r="H115" s="229"/>
      <c r="J115" s="97" t="s">
        <v>396</v>
      </c>
      <c r="K115" s="97">
        <v>0</v>
      </c>
      <c r="L115" s="151">
        <f aca="true" t="shared" si="32" ref="L115:BW115">IF(L112=($B$114+1),$F$114,IF(L112&lt;=$B$114,$F$114,0))</f>
        <v>350</v>
      </c>
      <c r="M115" s="151">
        <f t="shared" si="32"/>
        <v>350</v>
      </c>
      <c r="N115" s="151">
        <f t="shared" si="32"/>
        <v>350</v>
      </c>
      <c r="O115" s="151">
        <f t="shared" si="32"/>
        <v>350</v>
      </c>
      <c r="P115" s="151">
        <f t="shared" si="32"/>
        <v>350</v>
      </c>
      <c r="Q115" s="151">
        <f t="shared" si="32"/>
        <v>0</v>
      </c>
      <c r="R115" s="151">
        <f t="shared" si="32"/>
        <v>0</v>
      </c>
      <c r="S115" s="151">
        <f t="shared" si="32"/>
        <v>0</v>
      </c>
      <c r="T115" s="151">
        <f t="shared" si="32"/>
        <v>0</v>
      </c>
      <c r="U115" s="151">
        <f t="shared" si="32"/>
        <v>0</v>
      </c>
      <c r="V115" s="151">
        <f t="shared" si="32"/>
        <v>0</v>
      </c>
      <c r="W115" s="151">
        <f t="shared" si="32"/>
        <v>0</v>
      </c>
      <c r="X115" s="151">
        <f t="shared" si="32"/>
        <v>0</v>
      </c>
      <c r="Y115" s="151">
        <f t="shared" si="32"/>
        <v>0</v>
      </c>
      <c r="Z115" s="151">
        <f t="shared" si="32"/>
        <v>0</v>
      </c>
      <c r="AA115" s="151">
        <f t="shared" si="32"/>
        <v>0</v>
      </c>
      <c r="AB115" s="151">
        <f t="shared" si="32"/>
        <v>0</v>
      </c>
      <c r="AC115" s="151">
        <f t="shared" si="32"/>
        <v>0</v>
      </c>
      <c r="AD115" s="151">
        <f t="shared" si="32"/>
        <v>0</v>
      </c>
      <c r="AE115" s="151">
        <f t="shared" si="32"/>
        <v>0</v>
      </c>
      <c r="AF115" s="151">
        <f t="shared" si="32"/>
        <v>0</v>
      </c>
      <c r="AG115" s="151">
        <f t="shared" si="32"/>
        <v>0</v>
      </c>
      <c r="AH115" s="151">
        <f t="shared" si="32"/>
        <v>0</v>
      </c>
      <c r="AI115" s="151">
        <f t="shared" si="32"/>
        <v>0</v>
      </c>
      <c r="AJ115" s="151">
        <f t="shared" si="32"/>
        <v>0</v>
      </c>
      <c r="AK115" s="151">
        <f t="shared" si="32"/>
        <v>0</v>
      </c>
      <c r="AL115" s="151">
        <f t="shared" si="32"/>
        <v>0</v>
      </c>
      <c r="AM115" s="151">
        <f t="shared" si="32"/>
        <v>0</v>
      </c>
      <c r="AN115" s="151">
        <f t="shared" si="32"/>
        <v>0</v>
      </c>
      <c r="AO115" s="151">
        <f t="shared" si="32"/>
        <v>0</v>
      </c>
      <c r="AP115" s="151">
        <f t="shared" si="32"/>
        <v>0</v>
      </c>
      <c r="AQ115" s="151">
        <f t="shared" si="32"/>
        <v>0</v>
      </c>
      <c r="AR115" s="151">
        <f t="shared" si="32"/>
        <v>0</v>
      </c>
      <c r="AS115" s="151">
        <f t="shared" si="32"/>
        <v>0</v>
      </c>
      <c r="AT115" s="151">
        <f t="shared" si="32"/>
        <v>0</v>
      </c>
      <c r="AU115" s="151">
        <f t="shared" si="32"/>
        <v>0</v>
      </c>
      <c r="AV115" s="151">
        <f t="shared" si="32"/>
        <v>0</v>
      </c>
      <c r="AW115" s="151">
        <f t="shared" si="32"/>
        <v>0</v>
      </c>
      <c r="AX115" s="151">
        <f t="shared" si="32"/>
        <v>0</v>
      </c>
      <c r="AY115" s="151">
        <f t="shared" si="32"/>
        <v>0</v>
      </c>
      <c r="AZ115" s="151">
        <f t="shared" si="32"/>
        <v>0</v>
      </c>
      <c r="BA115" s="151">
        <f t="shared" si="32"/>
        <v>0</v>
      </c>
      <c r="BB115" s="151">
        <f t="shared" si="32"/>
        <v>0</v>
      </c>
      <c r="BC115" s="151">
        <f t="shared" si="32"/>
        <v>0</v>
      </c>
      <c r="BD115" s="151">
        <f t="shared" si="32"/>
        <v>0</v>
      </c>
      <c r="BE115" s="151">
        <f t="shared" si="32"/>
        <v>0</v>
      </c>
      <c r="BF115" s="151">
        <f t="shared" si="32"/>
        <v>0</v>
      </c>
      <c r="BG115" s="151">
        <f t="shared" si="32"/>
        <v>0</v>
      </c>
      <c r="BH115" s="151">
        <f t="shared" si="32"/>
        <v>0</v>
      </c>
      <c r="BI115" s="151">
        <f t="shared" si="32"/>
        <v>0</v>
      </c>
      <c r="BJ115" s="151">
        <f t="shared" si="32"/>
        <v>0</v>
      </c>
      <c r="BK115" s="151">
        <f t="shared" si="32"/>
        <v>0</v>
      </c>
      <c r="BL115" s="151">
        <f t="shared" si="32"/>
        <v>0</v>
      </c>
      <c r="BM115" s="151">
        <f t="shared" si="32"/>
        <v>0</v>
      </c>
      <c r="BN115" s="151">
        <f t="shared" si="32"/>
        <v>0</v>
      </c>
      <c r="BO115" s="151">
        <f t="shared" si="32"/>
        <v>0</v>
      </c>
      <c r="BP115" s="151">
        <f t="shared" si="32"/>
        <v>0</v>
      </c>
      <c r="BQ115" s="151">
        <f t="shared" si="32"/>
        <v>0</v>
      </c>
      <c r="BR115" s="151">
        <f t="shared" si="32"/>
        <v>0</v>
      </c>
      <c r="BS115" s="151">
        <f t="shared" si="32"/>
        <v>0</v>
      </c>
      <c r="BT115" s="151">
        <f t="shared" si="32"/>
        <v>0</v>
      </c>
      <c r="BU115" s="151">
        <f t="shared" si="32"/>
        <v>0</v>
      </c>
      <c r="BV115" s="151">
        <f t="shared" si="32"/>
        <v>0</v>
      </c>
      <c r="BW115" s="151">
        <f t="shared" si="32"/>
        <v>0</v>
      </c>
      <c r="BX115" s="151">
        <f aca="true" t="shared" si="33" ref="BX115:DF115">IF(BX112=($B$114+1),$F$114,IF(BX112&lt;=$B$114,$F$114,0))</f>
        <v>0</v>
      </c>
      <c r="BY115" s="151">
        <f t="shared" si="33"/>
        <v>0</v>
      </c>
      <c r="BZ115" s="151">
        <f t="shared" si="33"/>
        <v>0</v>
      </c>
      <c r="CA115" s="151">
        <f t="shared" si="33"/>
        <v>0</v>
      </c>
      <c r="CB115" s="151">
        <f t="shared" si="33"/>
        <v>0</v>
      </c>
      <c r="CC115" s="151">
        <f t="shared" si="33"/>
        <v>0</v>
      </c>
      <c r="CD115" s="151">
        <f t="shared" si="33"/>
        <v>0</v>
      </c>
      <c r="CE115" s="151">
        <f t="shared" si="33"/>
        <v>0</v>
      </c>
      <c r="CF115" s="151">
        <f t="shared" si="33"/>
        <v>0</v>
      </c>
      <c r="CG115" s="151">
        <f t="shared" si="33"/>
        <v>0</v>
      </c>
      <c r="CH115" s="151">
        <f t="shared" si="33"/>
        <v>0</v>
      </c>
      <c r="CI115" s="151">
        <f t="shared" si="33"/>
        <v>0</v>
      </c>
      <c r="CJ115" s="151">
        <f t="shared" si="33"/>
        <v>0</v>
      </c>
      <c r="CK115" s="151">
        <f t="shared" si="33"/>
        <v>0</v>
      </c>
      <c r="CL115" s="151">
        <f t="shared" si="33"/>
        <v>0</v>
      </c>
      <c r="CM115" s="151">
        <f t="shared" si="33"/>
        <v>0</v>
      </c>
      <c r="CN115" s="151">
        <f t="shared" si="33"/>
        <v>0</v>
      </c>
      <c r="CO115" s="151">
        <f t="shared" si="33"/>
        <v>0</v>
      </c>
      <c r="CP115" s="151">
        <f t="shared" si="33"/>
        <v>0</v>
      </c>
      <c r="CQ115" s="151">
        <f t="shared" si="33"/>
        <v>0</v>
      </c>
      <c r="CR115" s="151">
        <f t="shared" si="33"/>
        <v>0</v>
      </c>
      <c r="CS115" s="151">
        <f t="shared" si="33"/>
        <v>0</v>
      </c>
      <c r="CT115" s="151">
        <f t="shared" si="33"/>
        <v>0</v>
      </c>
      <c r="CU115" s="151">
        <f t="shared" si="33"/>
        <v>0</v>
      </c>
      <c r="CV115" s="151">
        <f t="shared" si="33"/>
        <v>0</v>
      </c>
      <c r="CW115" s="151">
        <f t="shared" si="33"/>
        <v>0</v>
      </c>
      <c r="CX115" s="151">
        <f t="shared" si="33"/>
        <v>0</v>
      </c>
      <c r="CY115" s="151">
        <f t="shared" si="33"/>
        <v>0</v>
      </c>
      <c r="CZ115" s="151">
        <f t="shared" si="33"/>
        <v>0</v>
      </c>
      <c r="DA115" s="151">
        <f t="shared" si="33"/>
        <v>0</v>
      </c>
      <c r="DB115" s="151">
        <f t="shared" si="33"/>
        <v>0</v>
      </c>
      <c r="DC115" s="151">
        <f t="shared" si="33"/>
        <v>0</v>
      </c>
      <c r="DD115" s="151">
        <f t="shared" si="33"/>
        <v>0</v>
      </c>
      <c r="DE115" s="151">
        <f t="shared" si="33"/>
        <v>0</v>
      </c>
      <c r="DF115" s="151">
        <f t="shared" si="33"/>
        <v>0</v>
      </c>
    </row>
    <row r="116" spans="1:110" ht="18" customHeight="1" thickBot="1">
      <c r="A116" s="97" t="s">
        <v>336</v>
      </c>
      <c r="B116" s="97">
        <f>'Farm and Buffer Assumptions'!D35</f>
        <v>15</v>
      </c>
      <c r="C116" s="97" t="s">
        <v>93</v>
      </c>
      <c r="D116" s="97">
        <f>IF('Farm and Buffer Assumptions'!D63=1,'Buffer input prices'!D21*'Farm and Buffer Assumptions'!D36,0)</f>
        <v>230</v>
      </c>
      <c r="E116" s="139">
        <v>1</v>
      </c>
      <c r="F116" s="151">
        <f>E116*D116</f>
        <v>230</v>
      </c>
      <c r="G116" s="152">
        <f>-PV('Farm and Buffer Assumptions'!D20,B116,F116)</f>
        <v>2557.2291093986696</v>
      </c>
      <c r="H116" s="153"/>
      <c r="J116" s="97" t="s">
        <v>397</v>
      </c>
      <c r="K116" s="97">
        <v>0</v>
      </c>
      <c r="L116" s="151">
        <f>F115</f>
        <v>95</v>
      </c>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c r="BI116" s="151"/>
      <c r="BJ116" s="151"/>
      <c r="BK116" s="151"/>
      <c r="BL116" s="151"/>
      <c r="BM116" s="151"/>
      <c r="BN116" s="151"/>
      <c r="BO116" s="151"/>
      <c r="BP116" s="151"/>
      <c r="BQ116" s="151"/>
      <c r="BR116" s="151"/>
      <c r="BS116" s="151"/>
      <c r="BT116" s="151"/>
      <c r="BU116" s="151"/>
      <c r="BV116" s="151"/>
      <c r="BW116" s="151"/>
      <c r="BX116" s="151"/>
      <c r="BY116" s="151"/>
      <c r="BZ116" s="151"/>
      <c r="CA116" s="151"/>
      <c r="CB116" s="151"/>
      <c r="CC116" s="151"/>
      <c r="CD116" s="151"/>
      <c r="CE116" s="151"/>
      <c r="CF116" s="151"/>
      <c r="CG116" s="151"/>
      <c r="CH116" s="151"/>
      <c r="CI116" s="151"/>
      <c r="CJ116" s="151"/>
      <c r="CK116" s="151"/>
      <c r="CL116" s="151"/>
      <c r="CM116" s="151"/>
      <c r="CN116" s="151"/>
      <c r="CO116" s="151"/>
      <c r="CP116" s="151"/>
      <c r="CQ116" s="151"/>
      <c r="CR116" s="151"/>
      <c r="CS116" s="151"/>
      <c r="CT116" s="151"/>
      <c r="CU116" s="151"/>
      <c r="CV116" s="151"/>
      <c r="CW116" s="151"/>
      <c r="CX116" s="151"/>
      <c r="CY116" s="151"/>
      <c r="CZ116" s="151"/>
      <c r="DA116" s="151"/>
      <c r="DB116" s="151"/>
      <c r="DC116" s="151"/>
      <c r="DD116" s="151"/>
      <c r="DE116" s="151"/>
      <c r="DF116" s="151"/>
    </row>
    <row r="117" spans="1:110" ht="18" customHeight="1" thickBot="1">
      <c r="A117" s="97" t="s">
        <v>338</v>
      </c>
      <c r="B117" s="97">
        <v>1</v>
      </c>
      <c r="C117" s="97" t="s">
        <v>93</v>
      </c>
      <c r="D117" s="97">
        <f>IF('Farm and Buffer Assumptions'!D64=1,'Farm and Buffer Assumptions'!D37,0)</f>
        <v>0</v>
      </c>
      <c r="E117" s="139">
        <v>1</v>
      </c>
      <c r="F117" s="151">
        <f>E117*D117</f>
        <v>0</v>
      </c>
      <c r="G117" s="152">
        <f>F117</f>
        <v>0</v>
      </c>
      <c r="H117" s="153"/>
      <c r="J117" s="97" t="s">
        <v>337</v>
      </c>
      <c r="K117" s="151">
        <f aca="true" t="shared" si="34" ref="K117:BV117">IF(K112&lt;=$B$116,$F$116,0)</f>
        <v>230</v>
      </c>
      <c r="L117" s="151">
        <f t="shared" si="34"/>
        <v>230</v>
      </c>
      <c r="M117" s="151">
        <f t="shared" si="34"/>
        <v>230</v>
      </c>
      <c r="N117" s="151">
        <f t="shared" si="34"/>
        <v>230</v>
      </c>
      <c r="O117" s="151">
        <f t="shared" si="34"/>
        <v>230</v>
      </c>
      <c r="P117" s="151">
        <f t="shared" si="34"/>
        <v>230</v>
      </c>
      <c r="Q117" s="151">
        <f t="shared" si="34"/>
        <v>230</v>
      </c>
      <c r="R117" s="151">
        <f t="shared" si="34"/>
        <v>230</v>
      </c>
      <c r="S117" s="151">
        <f t="shared" si="34"/>
        <v>230</v>
      </c>
      <c r="T117" s="151">
        <f t="shared" si="34"/>
        <v>230</v>
      </c>
      <c r="U117" s="151">
        <f t="shared" si="34"/>
        <v>230</v>
      </c>
      <c r="V117" s="151">
        <f t="shared" si="34"/>
        <v>230</v>
      </c>
      <c r="W117" s="151">
        <f t="shared" si="34"/>
        <v>230</v>
      </c>
      <c r="X117" s="151">
        <f t="shared" si="34"/>
        <v>230</v>
      </c>
      <c r="Y117" s="151">
        <f t="shared" si="34"/>
        <v>230</v>
      </c>
      <c r="Z117" s="151">
        <f t="shared" si="34"/>
        <v>0</v>
      </c>
      <c r="AA117" s="151">
        <f t="shared" si="34"/>
        <v>0</v>
      </c>
      <c r="AB117" s="151">
        <f t="shared" si="34"/>
        <v>0</v>
      </c>
      <c r="AC117" s="151">
        <f t="shared" si="34"/>
        <v>0</v>
      </c>
      <c r="AD117" s="151">
        <f t="shared" si="34"/>
        <v>0</v>
      </c>
      <c r="AE117" s="151">
        <f t="shared" si="34"/>
        <v>0</v>
      </c>
      <c r="AF117" s="151">
        <f t="shared" si="34"/>
        <v>0</v>
      </c>
      <c r="AG117" s="151">
        <f t="shared" si="34"/>
        <v>0</v>
      </c>
      <c r="AH117" s="151">
        <f t="shared" si="34"/>
        <v>0</v>
      </c>
      <c r="AI117" s="151">
        <f t="shared" si="34"/>
        <v>0</v>
      </c>
      <c r="AJ117" s="151">
        <f t="shared" si="34"/>
        <v>0</v>
      </c>
      <c r="AK117" s="151">
        <f t="shared" si="34"/>
        <v>0</v>
      </c>
      <c r="AL117" s="151">
        <f t="shared" si="34"/>
        <v>0</v>
      </c>
      <c r="AM117" s="151">
        <f t="shared" si="34"/>
        <v>0</v>
      </c>
      <c r="AN117" s="151">
        <f t="shared" si="34"/>
        <v>0</v>
      </c>
      <c r="AO117" s="151">
        <f t="shared" si="34"/>
        <v>0</v>
      </c>
      <c r="AP117" s="151">
        <f t="shared" si="34"/>
        <v>0</v>
      </c>
      <c r="AQ117" s="151">
        <f t="shared" si="34"/>
        <v>0</v>
      </c>
      <c r="AR117" s="151">
        <f t="shared" si="34"/>
        <v>0</v>
      </c>
      <c r="AS117" s="151">
        <f t="shared" si="34"/>
        <v>0</v>
      </c>
      <c r="AT117" s="151">
        <f t="shared" si="34"/>
        <v>0</v>
      </c>
      <c r="AU117" s="151">
        <f t="shared" si="34"/>
        <v>0</v>
      </c>
      <c r="AV117" s="151">
        <f t="shared" si="34"/>
        <v>0</v>
      </c>
      <c r="AW117" s="151">
        <f t="shared" si="34"/>
        <v>0</v>
      </c>
      <c r="AX117" s="151">
        <f t="shared" si="34"/>
        <v>0</v>
      </c>
      <c r="AY117" s="151">
        <f t="shared" si="34"/>
        <v>0</v>
      </c>
      <c r="AZ117" s="151">
        <f t="shared" si="34"/>
        <v>0</v>
      </c>
      <c r="BA117" s="151">
        <f t="shared" si="34"/>
        <v>0</v>
      </c>
      <c r="BB117" s="151">
        <f t="shared" si="34"/>
        <v>0</v>
      </c>
      <c r="BC117" s="151">
        <f t="shared" si="34"/>
        <v>0</v>
      </c>
      <c r="BD117" s="151">
        <f t="shared" si="34"/>
        <v>0</v>
      </c>
      <c r="BE117" s="151">
        <f t="shared" si="34"/>
        <v>0</v>
      </c>
      <c r="BF117" s="151">
        <f t="shared" si="34"/>
        <v>0</v>
      </c>
      <c r="BG117" s="151">
        <f t="shared" si="34"/>
        <v>0</v>
      </c>
      <c r="BH117" s="151">
        <f t="shared" si="34"/>
        <v>0</v>
      </c>
      <c r="BI117" s="151">
        <f t="shared" si="34"/>
        <v>0</v>
      </c>
      <c r="BJ117" s="151">
        <f t="shared" si="34"/>
        <v>0</v>
      </c>
      <c r="BK117" s="151">
        <f t="shared" si="34"/>
        <v>0</v>
      </c>
      <c r="BL117" s="151">
        <f t="shared" si="34"/>
        <v>0</v>
      </c>
      <c r="BM117" s="151">
        <f t="shared" si="34"/>
        <v>0</v>
      </c>
      <c r="BN117" s="151">
        <f t="shared" si="34"/>
        <v>0</v>
      </c>
      <c r="BO117" s="151">
        <f t="shared" si="34"/>
        <v>0</v>
      </c>
      <c r="BP117" s="151">
        <f t="shared" si="34"/>
        <v>0</v>
      </c>
      <c r="BQ117" s="151">
        <f t="shared" si="34"/>
        <v>0</v>
      </c>
      <c r="BR117" s="151">
        <f t="shared" si="34"/>
        <v>0</v>
      </c>
      <c r="BS117" s="151">
        <f t="shared" si="34"/>
        <v>0</v>
      </c>
      <c r="BT117" s="151">
        <f t="shared" si="34"/>
        <v>0</v>
      </c>
      <c r="BU117" s="151">
        <f t="shared" si="34"/>
        <v>0</v>
      </c>
      <c r="BV117" s="151">
        <f t="shared" si="34"/>
        <v>0</v>
      </c>
      <c r="BW117" s="151">
        <f aca="true" t="shared" si="35" ref="BW117:DF117">IF(BW112&lt;=$B$116,$F$116,0)</f>
        <v>0</v>
      </c>
      <c r="BX117" s="151">
        <f t="shared" si="35"/>
        <v>0</v>
      </c>
      <c r="BY117" s="151">
        <f t="shared" si="35"/>
        <v>0</v>
      </c>
      <c r="BZ117" s="151">
        <f t="shared" si="35"/>
        <v>0</v>
      </c>
      <c r="CA117" s="151">
        <f t="shared" si="35"/>
        <v>0</v>
      </c>
      <c r="CB117" s="151">
        <f t="shared" si="35"/>
        <v>0</v>
      </c>
      <c r="CC117" s="151">
        <f t="shared" si="35"/>
        <v>0</v>
      </c>
      <c r="CD117" s="151">
        <f t="shared" si="35"/>
        <v>0</v>
      </c>
      <c r="CE117" s="151">
        <f t="shared" si="35"/>
        <v>0</v>
      </c>
      <c r="CF117" s="151">
        <f t="shared" si="35"/>
        <v>0</v>
      </c>
      <c r="CG117" s="151">
        <f t="shared" si="35"/>
        <v>0</v>
      </c>
      <c r="CH117" s="151">
        <f t="shared" si="35"/>
        <v>0</v>
      </c>
      <c r="CI117" s="151">
        <f t="shared" si="35"/>
        <v>0</v>
      </c>
      <c r="CJ117" s="151">
        <f t="shared" si="35"/>
        <v>0</v>
      </c>
      <c r="CK117" s="151">
        <f t="shared" si="35"/>
        <v>0</v>
      </c>
      <c r="CL117" s="151">
        <f t="shared" si="35"/>
        <v>0</v>
      </c>
      <c r="CM117" s="151">
        <f t="shared" si="35"/>
        <v>0</v>
      </c>
      <c r="CN117" s="151">
        <f t="shared" si="35"/>
        <v>0</v>
      </c>
      <c r="CO117" s="151">
        <f t="shared" si="35"/>
        <v>0</v>
      </c>
      <c r="CP117" s="151">
        <f t="shared" si="35"/>
        <v>0</v>
      </c>
      <c r="CQ117" s="151">
        <f t="shared" si="35"/>
        <v>0</v>
      </c>
      <c r="CR117" s="151">
        <f t="shared" si="35"/>
        <v>0</v>
      </c>
      <c r="CS117" s="151">
        <f t="shared" si="35"/>
        <v>0</v>
      </c>
      <c r="CT117" s="151">
        <f t="shared" si="35"/>
        <v>0</v>
      </c>
      <c r="CU117" s="151">
        <f t="shared" si="35"/>
        <v>0</v>
      </c>
      <c r="CV117" s="151">
        <f t="shared" si="35"/>
        <v>0</v>
      </c>
      <c r="CW117" s="151">
        <f t="shared" si="35"/>
        <v>0</v>
      </c>
      <c r="CX117" s="151">
        <f t="shared" si="35"/>
        <v>0</v>
      </c>
      <c r="CY117" s="151">
        <f t="shared" si="35"/>
        <v>0</v>
      </c>
      <c r="CZ117" s="151">
        <f t="shared" si="35"/>
        <v>0</v>
      </c>
      <c r="DA117" s="151">
        <f t="shared" si="35"/>
        <v>0</v>
      </c>
      <c r="DB117" s="151">
        <f t="shared" si="35"/>
        <v>0</v>
      </c>
      <c r="DC117" s="151">
        <f t="shared" si="35"/>
        <v>0</v>
      </c>
      <c r="DD117" s="151">
        <f t="shared" si="35"/>
        <v>0</v>
      </c>
      <c r="DE117" s="151">
        <f t="shared" si="35"/>
        <v>0</v>
      </c>
      <c r="DF117" s="151">
        <f t="shared" si="35"/>
        <v>0</v>
      </c>
    </row>
    <row r="118" spans="1:110" ht="18" customHeight="1">
      <c r="A118" s="154" t="s">
        <v>340</v>
      </c>
      <c r="B118" s="154"/>
      <c r="C118" s="100"/>
      <c r="D118" s="100"/>
      <c r="E118" s="208"/>
      <c r="F118" s="175">
        <f>SUM(F113:F117)</f>
        <v>3043</v>
      </c>
      <c r="G118" s="185">
        <f>SUM(G113:G117)</f>
        <v>6571.19976549103</v>
      </c>
      <c r="H118" s="209"/>
      <c r="J118" s="97" t="s">
        <v>339</v>
      </c>
      <c r="K118" s="151">
        <f>F117</f>
        <v>0</v>
      </c>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97"/>
      <c r="CV118" s="97"/>
      <c r="CW118" s="97"/>
      <c r="CX118" s="97"/>
      <c r="CY118" s="97"/>
      <c r="CZ118" s="97"/>
      <c r="DA118" s="97"/>
      <c r="DB118" s="97"/>
      <c r="DC118" s="97"/>
      <c r="DD118" s="97"/>
      <c r="DE118" s="97"/>
      <c r="DF118" s="97"/>
    </row>
    <row r="119" spans="1:110" ht="18" customHeight="1">
      <c r="A119" s="210"/>
      <c r="B119" s="18"/>
      <c r="C119" s="18"/>
      <c r="D119" s="18"/>
      <c r="E119" s="212"/>
      <c r="F119" s="213"/>
      <c r="G119" s="214"/>
      <c r="H119" s="211"/>
      <c r="J119" s="97" t="s">
        <v>341</v>
      </c>
      <c r="K119" s="151">
        <f>F124</f>
        <v>2368</v>
      </c>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c r="CY119" s="97"/>
      <c r="CZ119" s="97"/>
      <c r="DA119" s="97"/>
      <c r="DB119" s="97"/>
      <c r="DC119" s="97"/>
      <c r="DD119" s="97"/>
      <c r="DE119" s="97"/>
      <c r="DF119" s="97"/>
    </row>
    <row r="120" spans="1:110" ht="21.75" customHeight="1">
      <c r="A120" s="401" t="s">
        <v>343</v>
      </c>
      <c r="B120" s="401"/>
      <c r="C120" s="231"/>
      <c r="D120" s="231"/>
      <c r="E120" s="409"/>
      <c r="F120" s="410"/>
      <c r="G120" s="410"/>
      <c r="H120" s="406" t="s">
        <v>363</v>
      </c>
      <c r="J120" s="97" t="s">
        <v>398</v>
      </c>
      <c r="K120" s="151">
        <v>0</v>
      </c>
      <c r="L120" s="215">
        <f>F127</f>
        <v>350</v>
      </c>
      <c r="M120" s="215">
        <f>F127</f>
        <v>350</v>
      </c>
      <c r="N120" s="215">
        <f>F127</f>
        <v>350</v>
      </c>
      <c r="O120" s="215">
        <f>F127</f>
        <v>350</v>
      </c>
      <c r="P120" s="215">
        <f>F127</f>
        <v>350</v>
      </c>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row>
    <row r="121" spans="1:110" ht="42" customHeight="1">
      <c r="A121" s="96" t="s">
        <v>399</v>
      </c>
      <c r="B121" s="96">
        <v>1</v>
      </c>
      <c r="C121" s="97" t="s">
        <v>93</v>
      </c>
      <c r="D121" s="160">
        <f>'Buffer input prices'!D35</f>
        <v>850</v>
      </c>
      <c r="E121" s="139">
        <v>1</v>
      </c>
      <c r="F121" s="215">
        <f>E121*D121</f>
        <v>850</v>
      </c>
      <c r="G121" s="207">
        <f>E121*D121</f>
        <v>850</v>
      </c>
      <c r="H121" s="50" t="s">
        <v>400</v>
      </c>
      <c r="J121" s="97" t="s">
        <v>401</v>
      </c>
      <c r="K121" s="97">
        <v>0</v>
      </c>
      <c r="L121" s="151">
        <f>F128</f>
        <v>95</v>
      </c>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c r="BI121" s="151"/>
      <c r="BJ121" s="151"/>
      <c r="BK121" s="151"/>
      <c r="BL121" s="151"/>
      <c r="BM121" s="151"/>
      <c r="BN121" s="151"/>
      <c r="BO121" s="151"/>
      <c r="BP121" s="151"/>
      <c r="BQ121" s="151"/>
      <c r="BR121" s="151"/>
      <c r="BS121" s="151"/>
      <c r="BT121" s="151"/>
      <c r="BU121" s="151"/>
      <c r="BV121" s="151"/>
      <c r="BW121" s="151"/>
      <c r="BX121" s="151"/>
      <c r="BY121" s="151"/>
      <c r="BZ121" s="151"/>
      <c r="CA121" s="151"/>
      <c r="CB121" s="151"/>
      <c r="CC121" s="151"/>
      <c r="CD121" s="151"/>
      <c r="CE121" s="151"/>
      <c r="CF121" s="151"/>
      <c r="CG121" s="151"/>
      <c r="CH121" s="151"/>
      <c r="CI121" s="151"/>
      <c r="CJ121" s="151"/>
      <c r="CK121" s="151"/>
      <c r="CL121" s="151"/>
      <c r="CM121" s="151"/>
      <c r="CN121" s="151"/>
      <c r="CO121" s="151"/>
      <c r="CP121" s="151"/>
      <c r="CQ121" s="151"/>
      <c r="CR121" s="151"/>
      <c r="CS121" s="151"/>
      <c r="CT121" s="151"/>
      <c r="CU121" s="151"/>
      <c r="CV121" s="151"/>
      <c r="CW121" s="151"/>
      <c r="CX121" s="151"/>
      <c r="CY121" s="151"/>
      <c r="CZ121" s="151"/>
      <c r="DA121" s="151"/>
      <c r="DB121" s="151"/>
      <c r="DC121" s="151"/>
      <c r="DD121" s="151"/>
      <c r="DE121" s="151"/>
      <c r="DF121" s="151"/>
    </row>
    <row r="122" spans="1:110" ht="68.25" customHeight="1">
      <c r="A122" s="97" t="s">
        <v>414</v>
      </c>
      <c r="B122" s="97">
        <v>1</v>
      </c>
      <c r="C122" s="97" t="s">
        <v>93</v>
      </c>
      <c r="D122" s="160">
        <f>'Buffer input prices'!D32</f>
        <v>950</v>
      </c>
      <c r="E122" s="139">
        <v>1</v>
      </c>
      <c r="F122" s="215">
        <f>E122*D122</f>
        <v>950</v>
      </c>
      <c r="G122" s="207">
        <f>E122*D122</f>
        <v>950</v>
      </c>
      <c r="H122" s="50" t="s">
        <v>415</v>
      </c>
      <c r="J122" s="190" t="s">
        <v>344</v>
      </c>
      <c r="K122" s="135">
        <f aca="true" t="shared" si="36" ref="K122:Y122">SUM(K114:K118)-SUM(K119:K121)</f>
        <v>230</v>
      </c>
      <c r="L122" s="135">
        <f t="shared" si="36"/>
        <v>230</v>
      </c>
      <c r="M122" s="135">
        <f t="shared" si="36"/>
        <v>230</v>
      </c>
      <c r="N122" s="135">
        <f t="shared" si="36"/>
        <v>230</v>
      </c>
      <c r="O122" s="135">
        <f t="shared" si="36"/>
        <v>230</v>
      </c>
      <c r="P122" s="135">
        <f t="shared" si="36"/>
        <v>230</v>
      </c>
      <c r="Q122" s="135">
        <f t="shared" si="36"/>
        <v>230</v>
      </c>
      <c r="R122" s="135">
        <f t="shared" si="36"/>
        <v>230</v>
      </c>
      <c r="S122" s="135">
        <f t="shared" si="36"/>
        <v>230</v>
      </c>
      <c r="T122" s="135">
        <f t="shared" si="36"/>
        <v>230</v>
      </c>
      <c r="U122" s="135">
        <f t="shared" si="36"/>
        <v>230</v>
      </c>
      <c r="V122" s="135">
        <f t="shared" si="36"/>
        <v>230</v>
      </c>
      <c r="W122" s="135">
        <f t="shared" si="36"/>
        <v>230</v>
      </c>
      <c r="X122" s="135">
        <f t="shared" si="36"/>
        <v>230</v>
      </c>
      <c r="Y122" s="135">
        <f t="shared" si="36"/>
        <v>230</v>
      </c>
      <c r="Z122" s="135">
        <f aca="true" t="shared" si="37" ref="Z122:CK122">SUM(Z114:Z118)-SUM(Z119:Z121)</f>
        <v>0</v>
      </c>
      <c r="AA122" s="135">
        <f t="shared" si="37"/>
        <v>0</v>
      </c>
      <c r="AB122" s="135">
        <f t="shared" si="37"/>
        <v>0</v>
      </c>
      <c r="AC122" s="135">
        <f t="shared" si="37"/>
        <v>0</v>
      </c>
      <c r="AD122" s="135">
        <f t="shared" si="37"/>
        <v>0</v>
      </c>
      <c r="AE122" s="135">
        <f t="shared" si="37"/>
        <v>0</v>
      </c>
      <c r="AF122" s="135">
        <f t="shared" si="37"/>
        <v>0</v>
      </c>
      <c r="AG122" s="135">
        <f t="shared" si="37"/>
        <v>0</v>
      </c>
      <c r="AH122" s="135">
        <f t="shared" si="37"/>
        <v>0</v>
      </c>
      <c r="AI122" s="135">
        <f t="shared" si="37"/>
        <v>0</v>
      </c>
      <c r="AJ122" s="135">
        <f t="shared" si="37"/>
        <v>0</v>
      </c>
      <c r="AK122" s="135">
        <f t="shared" si="37"/>
        <v>0</v>
      </c>
      <c r="AL122" s="135">
        <f t="shared" si="37"/>
        <v>0</v>
      </c>
      <c r="AM122" s="135">
        <f t="shared" si="37"/>
        <v>0</v>
      </c>
      <c r="AN122" s="135">
        <f t="shared" si="37"/>
        <v>0</v>
      </c>
      <c r="AO122" s="135">
        <f t="shared" si="37"/>
        <v>0</v>
      </c>
      <c r="AP122" s="135">
        <f t="shared" si="37"/>
        <v>0</v>
      </c>
      <c r="AQ122" s="135">
        <f t="shared" si="37"/>
        <v>0</v>
      </c>
      <c r="AR122" s="135">
        <f t="shared" si="37"/>
        <v>0</v>
      </c>
      <c r="AS122" s="135">
        <f t="shared" si="37"/>
        <v>0</v>
      </c>
      <c r="AT122" s="135">
        <f t="shared" si="37"/>
        <v>0</v>
      </c>
      <c r="AU122" s="135">
        <f t="shared" si="37"/>
        <v>0</v>
      </c>
      <c r="AV122" s="135">
        <f t="shared" si="37"/>
        <v>0</v>
      </c>
      <c r="AW122" s="135">
        <f t="shared" si="37"/>
        <v>0</v>
      </c>
      <c r="AX122" s="135">
        <f t="shared" si="37"/>
        <v>0</v>
      </c>
      <c r="AY122" s="135">
        <f t="shared" si="37"/>
        <v>0</v>
      </c>
      <c r="AZ122" s="135">
        <f t="shared" si="37"/>
        <v>0</v>
      </c>
      <c r="BA122" s="135">
        <f t="shared" si="37"/>
        <v>0</v>
      </c>
      <c r="BB122" s="135">
        <f t="shared" si="37"/>
        <v>0</v>
      </c>
      <c r="BC122" s="135">
        <f t="shared" si="37"/>
        <v>0</v>
      </c>
      <c r="BD122" s="135">
        <f t="shared" si="37"/>
        <v>0</v>
      </c>
      <c r="BE122" s="135">
        <f t="shared" si="37"/>
        <v>0</v>
      </c>
      <c r="BF122" s="135">
        <f t="shared" si="37"/>
        <v>0</v>
      </c>
      <c r="BG122" s="135">
        <f t="shared" si="37"/>
        <v>0</v>
      </c>
      <c r="BH122" s="135">
        <f t="shared" si="37"/>
        <v>0</v>
      </c>
      <c r="BI122" s="135">
        <f t="shared" si="37"/>
        <v>0</v>
      </c>
      <c r="BJ122" s="135">
        <f t="shared" si="37"/>
        <v>0</v>
      </c>
      <c r="BK122" s="135">
        <f t="shared" si="37"/>
        <v>0</v>
      </c>
      <c r="BL122" s="135">
        <f t="shared" si="37"/>
        <v>0</v>
      </c>
      <c r="BM122" s="135">
        <f t="shared" si="37"/>
        <v>0</v>
      </c>
      <c r="BN122" s="135">
        <f t="shared" si="37"/>
        <v>0</v>
      </c>
      <c r="BO122" s="135">
        <f t="shared" si="37"/>
        <v>0</v>
      </c>
      <c r="BP122" s="135">
        <f t="shared" si="37"/>
        <v>0</v>
      </c>
      <c r="BQ122" s="135">
        <f t="shared" si="37"/>
        <v>0</v>
      </c>
      <c r="BR122" s="135">
        <f t="shared" si="37"/>
        <v>0</v>
      </c>
      <c r="BS122" s="135">
        <f t="shared" si="37"/>
        <v>0</v>
      </c>
      <c r="BT122" s="135">
        <f t="shared" si="37"/>
        <v>0</v>
      </c>
      <c r="BU122" s="135">
        <f t="shared" si="37"/>
        <v>0</v>
      </c>
      <c r="BV122" s="135">
        <f t="shared" si="37"/>
        <v>0</v>
      </c>
      <c r="BW122" s="135">
        <f t="shared" si="37"/>
        <v>0</v>
      </c>
      <c r="BX122" s="135">
        <f t="shared" si="37"/>
        <v>0</v>
      </c>
      <c r="BY122" s="135">
        <f t="shared" si="37"/>
        <v>0</v>
      </c>
      <c r="BZ122" s="135">
        <f t="shared" si="37"/>
        <v>0</v>
      </c>
      <c r="CA122" s="135">
        <f t="shared" si="37"/>
        <v>0</v>
      </c>
      <c r="CB122" s="135">
        <f t="shared" si="37"/>
        <v>0</v>
      </c>
      <c r="CC122" s="135">
        <f t="shared" si="37"/>
        <v>0</v>
      </c>
      <c r="CD122" s="135">
        <f t="shared" si="37"/>
        <v>0</v>
      </c>
      <c r="CE122" s="135">
        <f t="shared" si="37"/>
        <v>0</v>
      </c>
      <c r="CF122" s="135">
        <f t="shared" si="37"/>
        <v>0</v>
      </c>
      <c r="CG122" s="135">
        <f t="shared" si="37"/>
        <v>0</v>
      </c>
      <c r="CH122" s="135">
        <f t="shared" si="37"/>
        <v>0</v>
      </c>
      <c r="CI122" s="135">
        <f t="shared" si="37"/>
        <v>0</v>
      </c>
      <c r="CJ122" s="135">
        <f t="shared" si="37"/>
        <v>0</v>
      </c>
      <c r="CK122" s="135">
        <f t="shared" si="37"/>
        <v>0</v>
      </c>
      <c r="CL122" s="135">
        <f aca="true" t="shared" si="38" ref="CL122:DF122">SUM(CL114:CL118)-SUM(CL119:CL121)</f>
        <v>0</v>
      </c>
      <c r="CM122" s="135">
        <f t="shared" si="38"/>
        <v>0</v>
      </c>
      <c r="CN122" s="135">
        <f t="shared" si="38"/>
        <v>0</v>
      </c>
      <c r="CO122" s="135">
        <f t="shared" si="38"/>
        <v>0</v>
      </c>
      <c r="CP122" s="135">
        <f t="shared" si="38"/>
        <v>0</v>
      </c>
      <c r="CQ122" s="135">
        <f t="shared" si="38"/>
        <v>0</v>
      </c>
      <c r="CR122" s="135">
        <f t="shared" si="38"/>
        <v>0</v>
      </c>
      <c r="CS122" s="135">
        <f t="shared" si="38"/>
        <v>0</v>
      </c>
      <c r="CT122" s="135">
        <f t="shared" si="38"/>
        <v>0</v>
      </c>
      <c r="CU122" s="135">
        <f t="shared" si="38"/>
        <v>0</v>
      </c>
      <c r="CV122" s="135">
        <f t="shared" si="38"/>
        <v>0</v>
      </c>
      <c r="CW122" s="135">
        <f t="shared" si="38"/>
        <v>0</v>
      </c>
      <c r="CX122" s="135">
        <f t="shared" si="38"/>
        <v>0</v>
      </c>
      <c r="CY122" s="135">
        <f t="shared" si="38"/>
        <v>0</v>
      </c>
      <c r="CZ122" s="135">
        <f t="shared" si="38"/>
        <v>0</v>
      </c>
      <c r="DA122" s="135">
        <f t="shared" si="38"/>
        <v>0</v>
      </c>
      <c r="DB122" s="135">
        <f t="shared" si="38"/>
        <v>0</v>
      </c>
      <c r="DC122" s="135">
        <f t="shared" si="38"/>
        <v>0</v>
      </c>
      <c r="DD122" s="135">
        <f t="shared" si="38"/>
        <v>0</v>
      </c>
      <c r="DE122" s="135">
        <f t="shared" si="38"/>
        <v>0</v>
      </c>
      <c r="DF122" s="135">
        <f t="shared" si="38"/>
        <v>0</v>
      </c>
    </row>
    <row r="123" spans="1:110" ht="56.25" customHeight="1">
      <c r="A123" s="97" t="s">
        <v>416</v>
      </c>
      <c r="B123" s="97">
        <v>1</v>
      </c>
      <c r="C123" s="97" t="s">
        <v>93</v>
      </c>
      <c r="D123" s="160">
        <f>'Buffer input prices'!D33</f>
        <v>568</v>
      </c>
      <c r="E123" s="139">
        <v>1</v>
      </c>
      <c r="F123" s="215">
        <f>E123*D123</f>
        <v>568</v>
      </c>
      <c r="G123" s="207">
        <f>E123*D123</f>
        <v>568</v>
      </c>
      <c r="H123" s="50" t="s">
        <v>167</v>
      </c>
      <c r="J123" t="s">
        <v>366</v>
      </c>
      <c r="K123" s="162"/>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row>
    <row r="124" spans="1:16" ht="18" customHeight="1">
      <c r="A124" s="100" t="s">
        <v>346</v>
      </c>
      <c r="B124" s="97"/>
      <c r="C124" s="97"/>
      <c r="D124" s="160"/>
      <c r="E124" s="139"/>
      <c r="F124" s="175">
        <f>SUM(F121:F123)</f>
        <v>2368</v>
      </c>
      <c r="G124" s="185">
        <f>SUM(G121:G123)</f>
        <v>2368</v>
      </c>
      <c r="H124" s="211"/>
      <c r="P124" s="162"/>
    </row>
    <row r="125" spans="1:17" ht="18" customHeight="1">
      <c r="A125" s="217"/>
      <c r="B125" s="172"/>
      <c r="C125" s="172"/>
      <c r="D125" s="218"/>
      <c r="E125" s="219"/>
      <c r="F125" s="219"/>
      <c r="G125" s="220"/>
      <c r="H125" s="211"/>
      <c r="N125" s="168" t="s">
        <v>368</v>
      </c>
      <c r="O125" s="169"/>
      <c r="P125" s="169"/>
      <c r="Q125" s="193"/>
    </row>
    <row r="126" spans="1:15" ht="18" customHeight="1">
      <c r="A126" s="401" t="s">
        <v>348</v>
      </c>
      <c r="B126" s="401"/>
      <c r="C126" s="231"/>
      <c r="D126" s="231"/>
      <c r="E126" s="409"/>
      <c r="F126" s="378"/>
      <c r="G126" s="409"/>
      <c r="H126" s="406"/>
      <c r="J126" s="10"/>
      <c r="K126" s="162"/>
      <c r="N126" s="176">
        <f>K114</f>
        <v>2368</v>
      </c>
      <c r="O126" s="177" t="s">
        <v>332</v>
      </c>
    </row>
    <row r="127" spans="1:25" ht="38.25">
      <c r="A127" s="97" t="s">
        <v>350</v>
      </c>
      <c r="B127" s="97">
        <v>5</v>
      </c>
      <c r="C127" s="97" t="s">
        <v>93</v>
      </c>
      <c r="D127" s="160">
        <f>'Buffer input prices'!D37</f>
        <v>350</v>
      </c>
      <c r="E127" s="139">
        <v>1</v>
      </c>
      <c r="F127" s="215">
        <f>E127*D127</f>
        <v>350</v>
      </c>
      <c r="G127" s="207">
        <f>(-PV('Farm and Buffer Assumptions'!D20,B127,F127))</f>
        <v>1558.137815855674</v>
      </c>
      <c r="H127" s="211" t="s">
        <v>406</v>
      </c>
      <c r="J127" s="20" t="s">
        <v>466</v>
      </c>
      <c r="K127" s="175">
        <f>NPV('Farm and Buffer Assumptions'!D20,K122:AD122)</f>
        <v>2557.2291093986673</v>
      </c>
      <c r="N127" s="178">
        <f>NPV('Farm and Buffer Assumptions'!D20,K115:P115)</f>
        <v>1498.2094383227613</v>
      </c>
      <c r="O127" s="18" t="s">
        <v>349</v>
      </c>
      <c r="P127" s="1"/>
      <c r="Q127" s="1"/>
      <c r="R127" s="1"/>
      <c r="S127" s="1"/>
      <c r="T127" s="1"/>
      <c r="U127" s="1"/>
      <c r="V127" s="1"/>
      <c r="W127" s="1"/>
      <c r="X127" s="1"/>
      <c r="Y127" s="1"/>
    </row>
    <row r="128" spans="1:15" ht="18" customHeight="1">
      <c r="A128" s="97" t="s">
        <v>417</v>
      </c>
      <c r="B128" s="97">
        <v>2</v>
      </c>
      <c r="C128" s="97" t="s">
        <v>93</v>
      </c>
      <c r="D128" s="160">
        <f>D122</f>
        <v>950</v>
      </c>
      <c r="E128" s="139">
        <v>0.1</v>
      </c>
      <c r="F128" s="215">
        <f>E128*D128</f>
        <v>95</v>
      </c>
      <c r="G128" s="207">
        <f>(F128/(1+'Farm and Buffer Assumptions'!D20)^2)</f>
        <v>87.83284023668638</v>
      </c>
      <c r="H128" s="211" t="s">
        <v>418</v>
      </c>
      <c r="J128" s="20" t="s">
        <v>467</v>
      </c>
      <c r="K128" s="175">
        <f>NPV('Farm and Buffer Assumptions'!D20,K122:AN122)</f>
        <v>2557.2291093986673</v>
      </c>
      <c r="N128" s="178">
        <f>NPV('Farm and Buffer Assumptions'!D20,K116:L116)</f>
        <v>87.83284023668638</v>
      </c>
      <c r="O128" s="177" t="s">
        <v>395</v>
      </c>
    </row>
    <row r="129" spans="1:15" ht="18" customHeight="1">
      <c r="A129" s="100" t="s">
        <v>353</v>
      </c>
      <c r="B129" s="97"/>
      <c r="C129" s="97"/>
      <c r="D129" s="160"/>
      <c r="E129" s="139"/>
      <c r="F129" s="175">
        <f>SUM(F127:F128)</f>
        <v>445</v>
      </c>
      <c r="G129" s="185">
        <f>SUM(G127:G128)</f>
        <v>1645.9706560923605</v>
      </c>
      <c r="H129" s="211"/>
      <c r="J129" s="20" t="s">
        <v>468</v>
      </c>
      <c r="K129" s="175">
        <f>NPV('Farm and Buffer Assumptions'!D20,K122:AX122)</f>
        <v>2557.2291093986673</v>
      </c>
      <c r="L129" s="1"/>
      <c r="M129" s="1"/>
      <c r="N129" s="179">
        <f>NPV('Farm and Buffer Assumptions'!D20,K117:Y117)</f>
        <v>2557.2291093986673</v>
      </c>
      <c r="O129" s="177" t="s">
        <v>336</v>
      </c>
    </row>
    <row r="130" spans="1:15" ht="18" customHeight="1">
      <c r="A130" s="217"/>
      <c r="B130" s="172"/>
      <c r="C130" s="172"/>
      <c r="D130" s="218"/>
      <c r="E130" s="219"/>
      <c r="F130" s="221"/>
      <c r="G130" s="222"/>
      <c r="H130" s="211"/>
      <c r="J130" s="20" t="s">
        <v>469</v>
      </c>
      <c r="K130" s="175">
        <f>NPV('Farm and Buffer Assumptions'!D20,K122:BH122)</f>
        <v>2557.2291093986673</v>
      </c>
      <c r="N130" s="178">
        <f>K118</f>
        <v>0</v>
      </c>
      <c r="O130" s="177" t="s">
        <v>338</v>
      </c>
    </row>
    <row r="131" spans="1:15" ht="18" customHeight="1">
      <c r="A131" s="154" t="s">
        <v>355</v>
      </c>
      <c r="B131" s="154"/>
      <c r="C131" s="154"/>
      <c r="D131" s="183"/>
      <c r="E131" s="184"/>
      <c r="F131" s="223">
        <f>F124+F129</f>
        <v>2813</v>
      </c>
      <c r="G131" s="224">
        <f>G124+G129</f>
        <v>4013.9706560923605</v>
      </c>
      <c r="H131" s="225"/>
      <c r="J131" s="20" t="s">
        <v>470</v>
      </c>
      <c r="K131" s="175">
        <f>NPV('Farm and Buffer Assumptions'!D20,K122:BR122)</f>
        <v>2557.2291093986673</v>
      </c>
      <c r="N131" s="181">
        <f>K119</f>
        <v>2368</v>
      </c>
      <c r="O131" s="182" t="s">
        <v>354</v>
      </c>
    </row>
    <row r="132" spans="1:15" ht="18" customHeight="1">
      <c r="A132" s="217"/>
      <c r="B132" s="172"/>
      <c r="C132" s="172"/>
      <c r="D132" s="172"/>
      <c r="E132" s="219"/>
      <c r="F132" s="173"/>
      <c r="G132" s="220"/>
      <c r="H132" s="171"/>
      <c r="J132" s="20" t="s">
        <v>471</v>
      </c>
      <c r="K132" s="175">
        <f>NPV('Farm and Buffer Assumptions'!D20,K122:CB122)</f>
        <v>2557.2291093986673</v>
      </c>
      <c r="N132" s="178">
        <f>NPV('Farm and Buffer Assumptions'!D20,K120:P120)</f>
        <v>1498.2094383227613</v>
      </c>
      <c r="O132" t="s">
        <v>409</v>
      </c>
    </row>
    <row r="133" spans="1:15" ht="18" customHeight="1">
      <c r="A133" s="437" t="s">
        <v>357</v>
      </c>
      <c r="B133" s="437"/>
      <c r="C133" s="437"/>
      <c r="D133" s="437"/>
      <c r="E133" s="438"/>
      <c r="F133" s="439"/>
      <c r="G133" s="439">
        <f>G118-G131</f>
        <v>2557.2291093986696</v>
      </c>
      <c r="H133" s="440"/>
      <c r="J133" s="20" t="s">
        <v>472</v>
      </c>
      <c r="K133" s="175">
        <f>NPV('Farm and Buffer Assumptions'!D20,K122:CL122)</f>
        <v>2557.2291093986673</v>
      </c>
      <c r="N133" s="178">
        <f>NPV('Farm and Buffer Assumptions'!D20,K121:L121)</f>
        <v>87.83284023668638</v>
      </c>
      <c r="O133" t="s">
        <v>410</v>
      </c>
    </row>
    <row r="134" spans="1:14" ht="53.25" customHeight="1">
      <c r="A134" s="936" t="s">
        <v>481</v>
      </c>
      <c r="B134" s="937"/>
      <c r="C134" s="937"/>
      <c r="D134" s="937"/>
      <c r="E134" s="937"/>
      <c r="F134" s="937"/>
      <c r="G134" s="937"/>
      <c r="H134" s="937"/>
      <c r="J134" s="20" t="s">
        <v>473</v>
      </c>
      <c r="K134" s="175">
        <f>NPV('Farm and Buffer Assumptions'!D20,K122:CV122)</f>
        <v>2557.2291093986673</v>
      </c>
      <c r="N134" s="226"/>
    </row>
    <row r="135" spans="1:15" ht="27" customHeight="1">
      <c r="A135" s="939" t="s">
        <v>419</v>
      </c>
      <c r="B135" s="932"/>
      <c r="C135" s="932"/>
      <c r="D135" s="932"/>
      <c r="E135" s="932"/>
      <c r="F135" s="932"/>
      <c r="G135" s="932"/>
      <c r="H135" s="932"/>
      <c r="J135" s="20" t="s">
        <v>474</v>
      </c>
      <c r="K135" s="175">
        <f>NPV('Farm and Buffer Assumptions'!D20,K122:DF122)</f>
        <v>2557.2291093986673</v>
      </c>
      <c r="N135" s="227">
        <f>SUM(N126:N130)-SUM(N131:N133)</f>
        <v>2557.2291093986673</v>
      </c>
      <c r="O135" t="s">
        <v>358</v>
      </c>
    </row>
    <row r="136" spans="1:9" ht="21.75" customHeight="1">
      <c r="A136" s="938" t="s">
        <v>361</v>
      </c>
      <c r="B136" s="932"/>
      <c r="C136" s="932"/>
      <c r="D136" s="932"/>
      <c r="E136" s="932"/>
      <c r="F136" s="932"/>
      <c r="G136" s="932"/>
      <c r="H136" s="932"/>
      <c r="I136" s="10"/>
    </row>
    <row r="137" spans="1:8" ht="24" customHeight="1">
      <c r="A137" s="932" t="s">
        <v>420</v>
      </c>
      <c r="B137" s="932"/>
      <c r="C137" s="932"/>
      <c r="D137" s="932"/>
      <c r="E137" s="932"/>
      <c r="F137" s="932"/>
      <c r="G137" s="932"/>
      <c r="H137" s="932"/>
    </row>
    <row r="138" spans="1:110" ht="25.5" customHeight="1">
      <c r="A138" s="932" t="s">
        <v>477</v>
      </c>
      <c r="B138" s="932"/>
      <c r="C138" s="932"/>
      <c r="D138" s="932"/>
      <c r="E138" s="932"/>
      <c r="F138" s="932"/>
      <c r="G138" s="932"/>
      <c r="H138" s="932"/>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row>
    <row r="139" ht="19.5" customHeight="1" thickBot="1">
      <c r="H139" s="1"/>
    </row>
    <row r="140" spans="1:11" ht="57" thickBot="1">
      <c r="A140" s="393" t="s">
        <v>421</v>
      </c>
      <c r="B140" s="394" t="s">
        <v>327</v>
      </c>
      <c r="C140" s="380" t="s">
        <v>83</v>
      </c>
      <c r="D140" s="381" t="s">
        <v>84</v>
      </c>
      <c r="E140" s="395" t="s">
        <v>85</v>
      </c>
      <c r="F140" s="381" t="s">
        <v>86</v>
      </c>
      <c r="G140" s="395" t="s">
        <v>328</v>
      </c>
      <c r="H140" s="380" t="s">
        <v>329</v>
      </c>
      <c r="K140" t="s">
        <v>325</v>
      </c>
    </row>
    <row r="141" spans="1:110" ht="23.25" customHeight="1">
      <c r="A141" s="397" t="s">
        <v>393</v>
      </c>
      <c r="B141" s="398"/>
      <c r="C141" s="386"/>
      <c r="D141" s="387"/>
      <c r="E141" s="399"/>
      <c r="F141" s="387"/>
      <c r="G141" s="399"/>
      <c r="H141" s="408"/>
      <c r="J141" s="230" t="s">
        <v>330</v>
      </c>
      <c r="K141" s="231">
        <v>1</v>
      </c>
      <c r="L141" s="231">
        <v>2</v>
      </c>
      <c r="M141" s="231">
        <v>3</v>
      </c>
      <c r="N141" s="231">
        <v>4</v>
      </c>
      <c r="O141" s="231">
        <v>5</v>
      </c>
      <c r="P141" s="231">
        <v>6</v>
      </c>
      <c r="Q141" s="231">
        <v>7</v>
      </c>
      <c r="R141" s="231">
        <v>8</v>
      </c>
      <c r="S141" s="231">
        <v>9</v>
      </c>
      <c r="T141" s="231">
        <v>10</v>
      </c>
      <c r="U141" s="231">
        <v>11</v>
      </c>
      <c r="V141" s="231">
        <v>12</v>
      </c>
      <c r="W141" s="231">
        <v>13</v>
      </c>
      <c r="X141" s="231">
        <v>14</v>
      </c>
      <c r="Y141" s="231">
        <v>15</v>
      </c>
      <c r="Z141" s="231">
        <v>16</v>
      </c>
      <c r="AA141" s="231">
        <v>17</v>
      </c>
      <c r="AB141" s="231">
        <v>18</v>
      </c>
      <c r="AC141" s="231">
        <v>19</v>
      </c>
      <c r="AD141" s="231">
        <v>20</v>
      </c>
      <c r="AE141" s="231">
        <v>21</v>
      </c>
      <c r="AF141" s="231">
        <v>22</v>
      </c>
      <c r="AG141" s="231">
        <v>23</v>
      </c>
      <c r="AH141" s="231">
        <v>24</v>
      </c>
      <c r="AI141" s="231">
        <v>25</v>
      </c>
      <c r="AJ141" s="231">
        <v>26</v>
      </c>
      <c r="AK141" s="231">
        <v>27</v>
      </c>
      <c r="AL141" s="231">
        <v>28</v>
      </c>
      <c r="AM141" s="231">
        <v>29</v>
      </c>
      <c r="AN141" s="231">
        <v>30</v>
      </c>
      <c r="AO141" s="231">
        <v>31</v>
      </c>
      <c r="AP141" s="231">
        <v>32</v>
      </c>
      <c r="AQ141" s="231">
        <v>33</v>
      </c>
      <c r="AR141" s="231">
        <v>34</v>
      </c>
      <c r="AS141" s="231">
        <v>35</v>
      </c>
      <c r="AT141" s="231">
        <v>36</v>
      </c>
      <c r="AU141" s="231">
        <v>37</v>
      </c>
      <c r="AV141" s="231">
        <v>38</v>
      </c>
      <c r="AW141" s="231">
        <v>39</v>
      </c>
      <c r="AX141" s="231">
        <v>40</v>
      </c>
      <c r="AY141" s="231">
        <v>41</v>
      </c>
      <c r="AZ141" s="231">
        <v>42</v>
      </c>
      <c r="BA141" s="231">
        <v>43</v>
      </c>
      <c r="BB141" s="231">
        <v>44</v>
      </c>
      <c r="BC141" s="231">
        <v>45</v>
      </c>
      <c r="BD141" s="231">
        <v>46</v>
      </c>
      <c r="BE141" s="231">
        <v>47</v>
      </c>
      <c r="BF141" s="231">
        <v>48</v>
      </c>
      <c r="BG141" s="231">
        <v>49</v>
      </c>
      <c r="BH141" s="231">
        <v>50</v>
      </c>
      <c r="BI141" s="231">
        <v>51</v>
      </c>
      <c r="BJ141" s="231">
        <v>52</v>
      </c>
      <c r="BK141" s="231">
        <v>53</v>
      </c>
      <c r="BL141" s="231">
        <v>54</v>
      </c>
      <c r="BM141" s="231">
        <v>55</v>
      </c>
      <c r="BN141" s="231">
        <v>56</v>
      </c>
      <c r="BO141" s="231">
        <v>57</v>
      </c>
      <c r="BP141" s="231">
        <v>58</v>
      </c>
      <c r="BQ141" s="231">
        <v>59</v>
      </c>
      <c r="BR141" s="231">
        <v>60</v>
      </c>
      <c r="BS141" s="231">
        <v>61</v>
      </c>
      <c r="BT141" s="231">
        <v>62</v>
      </c>
      <c r="BU141" s="231">
        <v>63</v>
      </c>
      <c r="BV141" s="231">
        <v>64</v>
      </c>
      <c r="BW141" s="231">
        <v>65</v>
      </c>
      <c r="BX141" s="231">
        <v>66</v>
      </c>
      <c r="BY141" s="231">
        <v>67</v>
      </c>
      <c r="BZ141" s="231">
        <v>68</v>
      </c>
      <c r="CA141" s="231">
        <v>69</v>
      </c>
      <c r="CB141" s="231">
        <v>70</v>
      </c>
      <c r="CC141" s="231">
        <v>71</v>
      </c>
      <c r="CD141" s="231">
        <v>72</v>
      </c>
      <c r="CE141" s="231">
        <v>73</v>
      </c>
      <c r="CF141" s="231">
        <v>74</v>
      </c>
      <c r="CG141" s="231">
        <v>75</v>
      </c>
      <c r="CH141" s="231">
        <v>76</v>
      </c>
      <c r="CI141" s="231">
        <v>77</v>
      </c>
      <c r="CJ141" s="231">
        <v>78</v>
      </c>
      <c r="CK141" s="231">
        <v>79</v>
      </c>
      <c r="CL141" s="231">
        <v>80</v>
      </c>
      <c r="CM141" s="231">
        <v>81</v>
      </c>
      <c r="CN141" s="231">
        <v>82</v>
      </c>
      <c r="CO141" s="231">
        <v>83</v>
      </c>
      <c r="CP141" s="231">
        <v>84</v>
      </c>
      <c r="CQ141" s="231">
        <v>85</v>
      </c>
      <c r="CR141" s="231">
        <v>86</v>
      </c>
      <c r="CS141" s="231">
        <v>87</v>
      </c>
      <c r="CT141" s="231">
        <v>88</v>
      </c>
      <c r="CU141" s="231">
        <v>89</v>
      </c>
      <c r="CV141" s="231">
        <v>90</v>
      </c>
      <c r="CW141" s="231">
        <v>91</v>
      </c>
      <c r="CX141" s="231">
        <v>92</v>
      </c>
      <c r="CY141" s="231">
        <v>93</v>
      </c>
      <c r="CZ141" s="231">
        <v>94</v>
      </c>
      <c r="DA141" s="231">
        <v>95</v>
      </c>
      <c r="DB141" s="231">
        <v>96</v>
      </c>
      <c r="DC141" s="231">
        <v>97</v>
      </c>
      <c r="DD141" s="231">
        <v>98</v>
      </c>
      <c r="DE141" s="231">
        <v>99</v>
      </c>
      <c r="DF141" s="231">
        <v>100</v>
      </c>
    </row>
    <row r="142" spans="1:110" ht="18" customHeight="1">
      <c r="A142" s="96" t="s">
        <v>332</v>
      </c>
      <c r="B142" s="97">
        <v>1</v>
      </c>
      <c r="C142" s="97" t="s">
        <v>93</v>
      </c>
      <c r="D142" s="97">
        <f>IF('Farm and Buffer Assumptions'!D70=1,F156*'Farm and Buffer Assumptions'!D38,0)</f>
        <v>0</v>
      </c>
      <c r="E142" s="412">
        <f>IF('Farm and Buffer Assumptions'!$D$26=1,1,0)</f>
        <v>0</v>
      </c>
      <c r="F142" s="151">
        <f aca="true" t="shared" si="39" ref="F142:F147">E142*D142</f>
        <v>0</v>
      </c>
      <c r="G142" s="152">
        <f>F142</f>
        <v>0</v>
      </c>
      <c r="H142" s="96"/>
      <c r="J142" s="100" t="s">
        <v>331</v>
      </c>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97"/>
      <c r="DF142" s="97"/>
    </row>
    <row r="143" spans="1:110" ht="18" customHeight="1">
      <c r="A143" s="96" t="s">
        <v>662</v>
      </c>
      <c r="B143" s="97">
        <f>'Farm and Buffer Assumptions'!D40</f>
        <v>5</v>
      </c>
      <c r="C143" s="97" t="s">
        <v>93</v>
      </c>
      <c r="D143" s="97">
        <f>IF('Farm and Buffer Assumptions'!D71=1,(F159)*'Farm and Buffer Assumptions'!D39,0)</f>
        <v>0</v>
      </c>
      <c r="E143" s="412">
        <f>IF('Farm and Buffer Assumptions'!$D$26=1,1,0)</f>
        <v>0</v>
      </c>
      <c r="F143" s="151">
        <f t="shared" si="39"/>
        <v>0</v>
      </c>
      <c r="G143" s="152">
        <f>-PV('Farm and Buffer Assumptions'!D20,B143,F143)</f>
        <v>0</v>
      </c>
      <c r="H143" s="96"/>
      <c r="J143" s="97" t="s">
        <v>333</v>
      </c>
      <c r="K143" s="151">
        <f>F142</f>
        <v>0</v>
      </c>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7"/>
      <c r="CY143" s="97"/>
      <c r="CZ143" s="97"/>
      <c r="DA143" s="97"/>
      <c r="DB143" s="97"/>
      <c r="DC143" s="97"/>
      <c r="DD143" s="97"/>
      <c r="DE143" s="97"/>
      <c r="DF143" s="97"/>
    </row>
    <row r="144" spans="1:110" ht="18" customHeight="1">
      <c r="A144" s="96" t="s">
        <v>395</v>
      </c>
      <c r="B144" s="97">
        <v>2</v>
      </c>
      <c r="C144" s="97" t="s">
        <v>93</v>
      </c>
      <c r="D144" s="232">
        <f>IF('Farm and Buffer Assumptions'!D71=1,F160*'Farm and Buffer Assumptions'!D39,0)</f>
        <v>0</v>
      </c>
      <c r="E144" s="412">
        <f>IF('Farm and Buffer Assumptions'!$D$26=1,1,0)</f>
        <v>0</v>
      </c>
      <c r="F144" s="151">
        <f>E144*D144</f>
        <v>0</v>
      </c>
      <c r="G144" s="228">
        <f>(-PV('Farm and Buffer Assumptions'!D20,B144,F144))</f>
        <v>0</v>
      </c>
      <c r="H144" s="101"/>
      <c r="J144" s="97" t="s">
        <v>422</v>
      </c>
      <c r="K144" s="97">
        <v>0</v>
      </c>
      <c r="L144" s="151">
        <f>IF(L141=($B$143+1),$F$143,IF(L141&lt;=$B$143,$F$143,0))</f>
        <v>0</v>
      </c>
      <c r="M144" s="151">
        <f aca="true" t="shared" si="40" ref="M144:BX144">IF(M141=($B$143+1),$F$143,IF(M141&lt;=$B$143,$F$143,0))</f>
        <v>0</v>
      </c>
      <c r="N144" s="151">
        <f t="shared" si="40"/>
        <v>0</v>
      </c>
      <c r="O144" s="151">
        <f t="shared" si="40"/>
        <v>0</v>
      </c>
      <c r="P144" s="151">
        <f t="shared" si="40"/>
        <v>0</v>
      </c>
      <c r="Q144" s="151">
        <f t="shared" si="40"/>
        <v>0</v>
      </c>
      <c r="R144" s="151">
        <f t="shared" si="40"/>
        <v>0</v>
      </c>
      <c r="S144" s="151">
        <f t="shared" si="40"/>
        <v>0</v>
      </c>
      <c r="T144" s="151">
        <f t="shared" si="40"/>
        <v>0</v>
      </c>
      <c r="U144" s="151">
        <f t="shared" si="40"/>
        <v>0</v>
      </c>
      <c r="V144" s="151">
        <f t="shared" si="40"/>
        <v>0</v>
      </c>
      <c r="W144" s="151">
        <f t="shared" si="40"/>
        <v>0</v>
      </c>
      <c r="X144" s="151">
        <f t="shared" si="40"/>
        <v>0</v>
      </c>
      <c r="Y144" s="151">
        <f t="shared" si="40"/>
        <v>0</v>
      </c>
      <c r="Z144" s="151">
        <f t="shared" si="40"/>
        <v>0</v>
      </c>
      <c r="AA144" s="151">
        <f t="shared" si="40"/>
        <v>0</v>
      </c>
      <c r="AB144" s="151">
        <f t="shared" si="40"/>
        <v>0</v>
      </c>
      <c r="AC144" s="151">
        <f t="shared" si="40"/>
        <v>0</v>
      </c>
      <c r="AD144" s="151">
        <f t="shared" si="40"/>
        <v>0</v>
      </c>
      <c r="AE144" s="151">
        <f t="shared" si="40"/>
        <v>0</v>
      </c>
      <c r="AF144" s="151">
        <f t="shared" si="40"/>
        <v>0</v>
      </c>
      <c r="AG144" s="151">
        <f t="shared" si="40"/>
        <v>0</v>
      </c>
      <c r="AH144" s="151">
        <f t="shared" si="40"/>
        <v>0</v>
      </c>
      <c r="AI144" s="151">
        <f t="shared" si="40"/>
        <v>0</v>
      </c>
      <c r="AJ144" s="151">
        <f t="shared" si="40"/>
        <v>0</v>
      </c>
      <c r="AK144" s="151">
        <f t="shared" si="40"/>
        <v>0</v>
      </c>
      <c r="AL144" s="151">
        <f t="shared" si="40"/>
        <v>0</v>
      </c>
      <c r="AM144" s="151">
        <f t="shared" si="40"/>
        <v>0</v>
      </c>
      <c r="AN144" s="151">
        <f t="shared" si="40"/>
        <v>0</v>
      </c>
      <c r="AO144" s="151">
        <f t="shared" si="40"/>
        <v>0</v>
      </c>
      <c r="AP144" s="151">
        <f t="shared" si="40"/>
        <v>0</v>
      </c>
      <c r="AQ144" s="151">
        <f t="shared" si="40"/>
        <v>0</v>
      </c>
      <c r="AR144" s="151">
        <f t="shared" si="40"/>
        <v>0</v>
      </c>
      <c r="AS144" s="151">
        <f t="shared" si="40"/>
        <v>0</v>
      </c>
      <c r="AT144" s="151">
        <f t="shared" si="40"/>
        <v>0</v>
      </c>
      <c r="AU144" s="151">
        <f t="shared" si="40"/>
        <v>0</v>
      </c>
      <c r="AV144" s="151">
        <f t="shared" si="40"/>
        <v>0</v>
      </c>
      <c r="AW144" s="151">
        <f t="shared" si="40"/>
        <v>0</v>
      </c>
      <c r="AX144" s="151">
        <f t="shared" si="40"/>
        <v>0</v>
      </c>
      <c r="AY144" s="151">
        <f t="shared" si="40"/>
        <v>0</v>
      </c>
      <c r="AZ144" s="151">
        <f t="shared" si="40"/>
        <v>0</v>
      </c>
      <c r="BA144" s="151">
        <f t="shared" si="40"/>
        <v>0</v>
      </c>
      <c r="BB144" s="151">
        <f t="shared" si="40"/>
        <v>0</v>
      </c>
      <c r="BC144" s="151">
        <f t="shared" si="40"/>
        <v>0</v>
      </c>
      <c r="BD144" s="151">
        <f t="shared" si="40"/>
        <v>0</v>
      </c>
      <c r="BE144" s="151">
        <f t="shared" si="40"/>
        <v>0</v>
      </c>
      <c r="BF144" s="151">
        <f t="shared" si="40"/>
        <v>0</v>
      </c>
      <c r="BG144" s="151">
        <f t="shared" si="40"/>
        <v>0</v>
      </c>
      <c r="BH144" s="151">
        <f t="shared" si="40"/>
        <v>0</v>
      </c>
      <c r="BI144" s="151">
        <f t="shared" si="40"/>
        <v>0</v>
      </c>
      <c r="BJ144" s="151">
        <f t="shared" si="40"/>
        <v>0</v>
      </c>
      <c r="BK144" s="151">
        <f t="shared" si="40"/>
        <v>0</v>
      </c>
      <c r="BL144" s="151">
        <f t="shared" si="40"/>
        <v>0</v>
      </c>
      <c r="BM144" s="151">
        <f t="shared" si="40"/>
        <v>0</v>
      </c>
      <c r="BN144" s="151">
        <f t="shared" si="40"/>
        <v>0</v>
      </c>
      <c r="BO144" s="151">
        <f t="shared" si="40"/>
        <v>0</v>
      </c>
      <c r="BP144" s="151">
        <f t="shared" si="40"/>
        <v>0</v>
      </c>
      <c r="BQ144" s="151">
        <f t="shared" si="40"/>
        <v>0</v>
      </c>
      <c r="BR144" s="151">
        <f t="shared" si="40"/>
        <v>0</v>
      </c>
      <c r="BS144" s="151">
        <f t="shared" si="40"/>
        <v>0</v>
      </c>
      <c r="BT144" s="151">
        <f t="shared" si="40"/>
        <v>0</v>
      </c>
      <c r="BU144" s="151">
        <f t="shared" si="40"/>
        <v>0</v>
      </c>
      <c r="BV144" s="151">
        <f t="shared" si="40"/>
        <v>0</v>
      </c>
      <c r="BW144" s="151">
        <f t="shared" si="40"/>
        <v>0</v>
      </c>
      <c r="BX144" s="151">
        <f t="shared" si="40"/>
        <v>0</v>
      </c>
      <c r="BY144" s="151">
        <f aca="true" t="shared" si="41" ref="BY144:DF144">IF(BY141=($B$143+1),$F$143,IF(BY141&lt;=$B$143,$F$143,0))</f>
        <v>0</v>
      </c>
      <c r="BZ144" s="151">
        <f t="shared" si="41"/>
        <v>0</v>
      </c>
      <c r="CA144" s="151">
        <f t="shared" si="41"/>
        <v>0</v>
      </c>
      <c r="CB144" s="151">
        <f t="shared" si="41"/>
        <v>0</v>
      </c>
      <c r="CC144" s="151">
        <f t="shared" si="41"/>
        <v>0</v>
      </c>
      <c r="CD144" s="151">
        <f t="shared" si="41"/>
        <v>0</v>
      </c>
      <c r="CE144" s="151">
        <f t="shared" si="41"/>
        <v>0</v>
      </c>
      <c r="CF144" s="151">
        <f t="shared" si="41"/>
        <v>0</v>
      </c>
      <c r="CG144" s="151">
        <f t="shared" si="41"/>
        <v>0</v>
      </c>
      <c r="CH144" s="151">
        <f t="shared" si="41"/>
        <v>0</v>
      </c>
      <c r="CI144" s="151">
        <f t="shared" si="41"/>
        <v>0</v>
      </c>
      <c r="CJ144" s="151">
        <f t="shared" si="41"/>
        <v>0</v>
      </c>
      <c r="CK144" s="151">
        <f t="shared" si="41"/>
        <v>0</v>
      </c>
      <c r="CL144" s="151">
        <f t="shared" si="41"/>
        <v>0</v>
      </c>
      <c r="CM144" s="151">
        <f t="shared" si="41"/>
        <v>0</v>
      </c>
      <c r="CN144" s="151">
        <f t="shared" si="41"/>
        <v>0</v>
      </c>
      <c r="CO144" s="151">
        <f t="shared" si="41"/>
        <v>0</v>
      </c>
      <c r="CP144" s="151">
        <f t="shared" si="41"/>
        <v>0</v>
      </c>
      <c r="CQ144" s="151">
        <f t="shared" si="41"/>
        <v>0</v>
      </c>
      <c r="CR144" s="151">
        <f t="shared" si="41"/>
        <v>0</v>
      </c>
      <c r="CS144" s="151">
        <f t="shared" si="41"/>
        <v>0</v>
      </c>
      <c r="CT144" s="151">
        <f t="shared" si="41"/>
        <v>0</v>
      </c>
      <c r="CU144" s="151">
        <f t="shared" si="41"/>
        <v>0</v>
      </c>
      <c r="CV144" s="151">
        <f t="shared" si="41"/>
        <v>0</v>
      </c>
      <c r="CW144" s="151">
        <f t="shared" si="41"/>
        <v>0</v>
      </c>
      <c r="CX144" s="151">
        <f t="shared" si="41"/>
        <v>0</v>
      </c>
      <c r="CY144" s="151">
        <f t="shared" si="41"/>
        <v>0</v>
      </c>
      <c r="CZ144" s="151">
        <f t="shared" si="41"/>
        <v>0</v>
      </c>
      <c r="DA144" s="151">
        <f t="shared" si="41"/>
        <v>0</v>
      </c>
      <c r="DB144" s="151">
        <f t="shared" si="41"/>
        <v>0</v>
      </c>
      <c r="DC144" s="151">
        <f t="shared" si="41"/>
        <v>0</v>
      </c>
      <c r="DD144" s="151">
        <f t="shared" si="41"/>
        <v>0</v>
      </c>
      <c r="DE144" s="151">
        <f t="shared" si="41"/>
        <v>0</v>
      </c>
      <c r="DF144" s="151">
        <f t="shared" si="41"/>
        <v>0</v>
      </c>
    </row>
    <row r="145" spans="1:110" ht="18" customHeight="1">
      <c r="A145" s="97" t="s">
        <v>336</v>
      </c>
      <c r="B145" s="97">
        <f>'Farm and Buffer Assumptions'!D35</f>
        <v>15</v>
      </c>
      <c r="C145" s="97" t="s">
        <v>93</v>
      </c>
      <c r="D145" s="97">
        <f>IF('Farm and Buffer Assumptions'!D68=1,'Buffer input prices'!D21*'Farm and Buffer Assumptions'!D36,0)</f>
        <v>0</v>
      </c>
      <c r="E145" s="412">
        <f>IF('Farm and Buffer Assumptions'!$D$26=1,1,0)</f>
        <v>0</v>
      </c>
      <c r="F145" s="151">
        <f t="shared" si="39"/>
        <v>0</v>
      </c>
      <c r="G145" s="152">
        <f>-PV('Farm and Buffer Assumptions'!D20,B145,F145)</f>
        <v>0</v>
      </c>
      <c r="H145" s="96"/>
      <c r="J145" s="97" t="s">
        <v>397</v>
      </c>
      <c r="K145" s="97">
        <v>0</v>
      </c>
      <c r="L145" s="151">
        <f>F144</f>
        <v>0</v>
      </c>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c r="BI145" s="151"/>
      <c r="BJ145" s="151"/>
      <c r="BK145" s="151"/>
      <c r="BL145" s="151"/>
      <c r="BM145" s="151"/>
      <c r="BN145" s="151"/>
      <c r="BO145" s="151"/>
      <c r="BP145" s="151"/>
      <c r="BQ145" s="151"/>
      <c r="BR145" s="151"/>
      <c r="BS145" s="151"/>
      <c r="BT145" s="151"/>
      <c r="BU145" s="151"/>
      <c r="BV145" s="151"/>
      <c r="BW145" s="151"/>
      <c r="BX145" s="151"/>
      <c r="BY145" s="151"/>
      <c r="BZ145" s="151"/>
      <c r="CA145" s="151"/>
      <c r="CB145" s="151"/>
      <c r="CC145" s="151"/>
      <c r="CD145" s="151"/>
      <c r="CE145" s="151"/>
      <c r="CF145" s="151"/>
      <c r="CG145" s="151"/>
      <c r="CH145" s="151"/>
      <c r="CI145" s="151"/>
      <c r="CJ145" s="151"/>
      <c r="CK145" s="151"/>
      <c r="CL145" s="151"/>
      <c r="CM145" s="151"/>
      <c r="CN145" s="151"/>
      <c r="CO145" s="151"/>
      <c r="CP145" s="151"/>
      <c r="CQ145" s="151"/>
      <c r="CR145" s="151"/>
      <c r="CS145" s="151"/>
      <c r="CT145" s="151"/>
      <c r="CU145" s="151"/>
      <c r="CV145" s="151"/>
      <c r="CW145" s="151"/>
      <c r="CX145" s="151"/>
      <c r="CY145" s="151"/>
      <c r="CZ145" s="151"/>
      <c r="DA145" s="151"/>
      <c r="DB145" s="151"/>
      <c r="DC145" s="151"/>
      <c r="DD145" s="151"/>
      <c r="DE145" s="151"/>
      <c r="DF145" s="151"/>
    </row>
    <row r="146" spans="1:110" ht="18" customHeight="1">
      <c r="A146" s="97" t="s">
        <v>338</v>
      </c>
      <c r="B146" s="97">
        <v>1</v>
      </c>
      <c r="C146" s="97" t="s">
        <v>93</v>
      </c>
      <c r="D146" s="97">
        <f>IF('Farm and Buffer Assumptions'!D69=1,'Farm and Buffer Assumptions'!D37,0)</f>
        <v>0</v>
      </c>
      <c r="E146" s="412">
        <f>IF('Farm and Buffer Assumptions'!$D$26=1,1,0)</f>
        <v>0</v>
      </c>
      <c r="F146" s="151">
        <f t="shared" si="39"/>
        <v>0</v>
      </c>
      <c r="G146" s="152">
        <f>F146</f>
        <v>0</v>
      </c>
      <c r="H146" s="96"/>
      <c r="J146" s="97" t="s">
        <v>337</v>
      </c>
      <c r="K146" s="151">
        <f>IF(K141&lt;=$B$145,$F$145,0)</f>
        <v>0</v>
      </c>
      <c r="L146" s="151">
        <f aca="true" t="shared" si="42" ref="L146:BW146">IF(L141&lt;=$B$145,$F$145,0)</f>
        <v>0</v>
      </c>
      <c r="M146" s="151">
        <f t="shared" si="42"/>
        <v>0</v>
      </c>
      <c r="N146" s="151">
        <f t="shared" si="42"/>
        <v>0</v>
      </c>
      <c r="O146" s="151">
        <f t="shared" si="42"/>
        <v>0</v>
      </c>
      <c r="P146" s="151">
        <f t="shared" si="42"/>
        <v>0</v>
      </c>
      <c r="Q146" s="151">
        <f t="shared" si="42"/>
        <v>0</v>
      </c>
      <c r="R146" s="151">
        <f t="shared" si="42"/>
        <v>0</v>
      </c>
      <c r="S146" s="151">
        <f t="shared" si="42"/>
        <v>0</v>
      </c>
      <c r="T146" s="151">
        <f t="shared" si="42"/>
        <v>0</v>
      </c>
      <c r="U146" s="151">
        <f t="shared" si="42"/>
        <v>0</v>
      </c>
      <c r="V146" s="151">
        <f t="shared" si="42"/>
        <v>0</v>
      </c>
      <c r="W146" s="151">
        <f t="shared" si="42"/>
        <v>0</v>
      </c>
      <c r="X146" s="151">
        <f t="shared" si="42"/>
        <v>0</v>
      </c>
      <c r="Y146" s="151">
        <f t="shared" si="42"/>
        <v>0</v>
      </c>
      <c r="Z146" s="151">
        <f t="shared" si="42"/>
        <v>0</v>
      </c>
      <c r="AA146" s="151">
        <f t="shared" si="42"/>
        <v>0</v>
      </c>
      <c r="AB146" s="151">
        <f t="shared" si="42"/>
        <v>0</v>
      </c>
      <c r="AC146" s="151">
        <f t="shared" si="42"/>
        <v>0</v>
      </c>
      <c r="AD146" s="151">
        <f t="shared" si="42"/>
        <v>0</v>
      </c>
      <c r="AE146" s="151">
        <f t="shared" si="42"/>
        <v>0</v>
      </c>
      <c r="AF146" s="151">
        <f t="shared" si="42"/>
        <v>0</v>
      </c>
      <c r="AG146" s="151">
        <f t="shared" si="42"/>
        <v>0</v>
      </c>
      <c r="AH146" s="151">
        <f t="shared" si="42"/>
        <v>0</v>
      </c>
      <c r="AI146" s="151">
        <f t="shared" si="42"/>
        <v>0</v>
      </c>
      <c r="AJ146" s="151">
        <f t="shared" si="42"/>
        <v>0</v>
      </c>
      <c r="AK146" s="151">
        <f t="shared" si="42"/>
        <v>0</v>
      </c>
      <c r="AL146" s="151">
        <f t="shared" si="42"/>
        <v>0</v>
      </c>
      <c r="AM146" s="151">
        <f t="shared" si="42"/>
        <v>0</v>
      </c>
      <c r="AN146" s="151">
        <f t="shared" si="42"/>
        <v>0</v>
      </c>
      <c r="AO146" s="151">
        <f t="shared" si="42"/>
        <v>0</v>
      </c>
      <c r="AP146" s="151">
        <f t="shared" si="42"/>
        <v>0</v>
      </c>
      <c r="AQ146" s="151">
        <f t="shared" si="42"/>
        <v>0</v>
      </c>
      <c r="AR146" s="151">
        <f t="shared" si="42"/>
        <v>0</v>
      </c>
      <c r="AS146" s="151">
        <f t="shared" si="42"/>
        <v>0</v>
      </c>
      <c r="AT146" s="151">
        <f t="shared" si="42"/>
        <v>0</v>
      </c>
      <c r="AU146" s="151">
        <f t="shared" si="42"/>
        <v>0</v>
      </c>
      <c r="AV146" s="151">
        <f t="shared" si="42"/>
        <v>0</v>
      </c>
      <c r="AW146" s="151">
        <f t="shared" si="42"/>
        <v>0</v>
      </c>
      <c r="AX146" s="151">
        <f t="shared" si="42"/>
        <v>0</v>
      </c>
      <c r="AY146" s="151">
        <f t="shared" si="42"/>
        <v>0</v>
      </c>
      <c r="AZ146" s="151">
        <f t="shared" si="42"/>
        <v>0</v>
      </c>
      <c r="BA146" s="151">
        <f t="shared" si="42"/>
        <v>0</v>
      </c>
      <c r="BB146" s="151">
        <f t="shared" si="42"/>
        <v>0</v>
      </c>
      <c r="BC146" s="151">
        <f t="shared" si="42"/>
        <v>0</v>
      </c>
      <c r="BD146" s="151">
        <f t="shared" si="42"/>
        <v>0</v>
      </c>
      <c r="BE146" s="151">
        <f t="shared" si="42"/>
        <v>0</v>
      </c>
      <c r="BF146" s="151">
        <f t="shared" si="42"/>
        <v>0</v>
      </c>
      <c r="BG146" s="151">
        <f t="shared" si="42"/>
        <v>0</v>
      </c>
      <c r="BH146" s="151">
        <f t="shared" si="42"/>
        <v>0</v>
      </c>
      <c r="BI146" s="151">
        <f t="shared" si="42"/>
        <v>0</v>
      </c>
      <c r="BJ146" s="151">
        <f t="shared" si="42"/>
        <v>0</v>
      </c>
      <c r="BK146" s="151">
        <f t="shared" si="42"/>
        <v>0</v>
      </c>
      <c r="BL146" s="151">
        <f t="shared" si="42"/>
        <v>0</v>
      </c>
      <c r="BM146" s="151">
        <f t="shared" si="42"/>
        <v>0</v>
      </c>
      <c r="BN146" s="151">
        <f t="shared" si="42"/>
        <v>0</v>
      </c>
      <c r="BO146" s="151">
        <f t="shared" si="42"/>
        <v>0</v>
      </c>
      <c r="BP146" s="151">
        <f t="shared" si="42"/>
        <v>0</v>
      </c>
      <c r="BQ146" s="151">
        <f t="shared" si="42"/>
        <v>0</v>
      </c>
      <c r="BR146" s="151">
        <f t="shared" si="42"/>
        <v>0</v>
      </c>
      <c r="BS146" s="151">
        <f t="shared" si="42"/>
        <v>0</v>
      </c>
      <c r="BT146" s="151">
        <f t="shared" si="42"/>
        <v>0</v>
      </c>
      <c r="BU146" s="151">
        <f t="shared" si="42"/>
        <v>0</v>
      </c>
      <c r="BV146" s="151">
        <f t="shared" si="42"/>
        <v>0</v>
      </c>
      <c r="BW146" s="151">
        <f t="shared" si="42"/>
        <v>0</v>
      </c>
      <c r="BX146" s="151">
        <f aca="true" t="shared" si="43" ref="BX146:DF146">IF(BX141&lt;=$B$145,$F$145,0)</f>
        <v>0</v>
      </c>
      <c r="BY146" s="151">
        <f t="shared" si="43"/>
        <v>0</v>
      </c>
      <c r="BZ146" s="151">
        <f t="shared" si="43"/>
        <v>0</v>
      </c>
      <c r="CA146" s="151">
        <f t="shared" si="43"/>
        <v>0</v>
      </c>
      <c r="CB146" s="151">
        <f t="shared" si="43"/>
        <v>0</v>
      </c>
      <c r="CC146" s="151">
        <f t="shared" si="43"/>
        <v>0</v>
      </c>
      <c r="CD146" s="151">
        <f t="shared" si="43"/>
        <v>0</v>
      </c>
      <c r="CE146" s="151">
        <f t="shared" si="43"/>
        <v>0</v>
      </c>
      <c r="CF146" s="151">
        <f t="shared" si="43"/>
        <v>0</v>
      </c>
      <c r="CG146" s="151">
        <f t="shared" si="43"/>
        <v>0</v>
      </c>
      <c r="CH146" s="151">
        <f t="shared" si="43"/>
        <v>0</v>
      </c>
      <c r="CI146" s="151">
        <f t="shared" si="43"/>
        <v>0</v>
      </c>
      <c r="CJ146" s="151">
        <f t="shared" si="43"/>
        <v>0</v>
      </c>
      <c r="CK146" s="151">
        <f t="shared" si="43"/>
        <v>0</v>
      </c>
      <c r="CL146" s="151">
        <f t="shared" si="43"/>
        <v>0</v>
      </c>
      <c r="CM146" s="151">
        <f t="shared" si="43"/>
        <v>0</v>
      </c>
      <c r="CN146" s="151">
        <f t="shared" si="43"/>
        <v>0</v>
      </c>
      <c r="CO146" s="151">
        <f t="shared" si="43"/>
        <v>0</v>
      </c>
      <c r="CP146" s="151">
        <f t="shared" si="43"/>
        <v>0</v>
      </c>
      <c r="CQ146" s="151">
        <f t="shared" si="43"/>
        <v>0</v>
      </c>
      <c r="CR146" s="151">
        <f t="shared" si="43"/>
        <v>0</v>
      </c>
      <c r="CS146" s="151">
        <f t="shared" si="43"/>
        <v>0</v>
      </c>
      <c r="CT146" s="151">
        <f t="shared" si="43"/>
        <v>0</v>
      </c>
      <c r="CU146" s="151">
        <f t="shared" si="43"/>
        <v>0</v>
      </c>
      <c r="CV146" s="151">
        <f t="shared" si="43"/>
        <v>0</v>
      </c>
      <c r="CW146" s="151">
        <f t="shared" si="43"/>
        <v>0</v>
      </c>
      <c r="CX146" s="151">
        <f t="shared" si="43"/>
        <v>0</v>
      </c>
      <c r="CY146" s="151">
        <f t="shared" si="43"/>
        <v>0</v>
      </c>
      <c r="CZ146" s="151">
        <f t="shared" si="43"/>
        <v>0</v>
      </c>
      <c r="DA146" s="151">
        <f t="shared" si="43"/>
        <v>0</v>
      </c>
      <c r="DB146" s="151">
        <f t="shared" si="43"/>
        <v>0</v>
      </c>
      <c r="DC146" s="151">
        <f t="shared" si="43"/>
        <v>0</v>
      </c>
      <c r="DD146" s="151">
        <f t="shared" si="43"/>
        <v>0</v>
      </c>
      <c r="DE146" s="151">
        <f t="shared" si="43"/>
        <v>0</v>
      </c>
      <c r="DF146" s="151">
        <f t="shared" si="43"/>
        <v>0</v>
      </c>
    </row>
    <row r="147" spans="1:110" ht="25.5" customHeight="1">
      <c r="A147" s="97" t="s">
        <v>423</v>
      </c>
      <c r="B147" s="97">
        <v>15</v>
      </c>
      <c r="C147" s="97" t="s">
        <v>424</v>
      </c>
      <c r="D147" s="139">
        <f>'Buffer input prices'!C50</f>
        <v>98</v>
      </c>
      <c r="E147" s="431">
        <v>0</v>
      </c>
      <c r="F147" s="215">
        <f t="shared" si="39"/>
        <v>0</v>
      </c>
      <c r="G147" s="161">
        <f>F147/((1+'Farm and Buffer Assumptions'!D20)^B147-1)</f>
        <v>0</v>
      </c>
      <c r="H147" s="407" t="s">
        <v>605</v>
      </c>
      <c r="J147" s="97" t="s">
        <v>339</v>
      </c>
      <c r="K147" s="151">
        <f>F146</f>
        <v>0</v>
      </c>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row>
    <row r="148" spans="1:110" ht="29.25" customHeight="1">
      <c r="A148" s="97" t="s">
        <v>425</v>
      </c>
      <c r="B148" s="97">
        <v>20</v>
      </c>
      <c r="C148" s="97" t="s">
        <v>424</v>
      </c>
      <c r="D148" s="233">
        <f>'Buffer input prices'!C49</f>
        <v>449</v>
      </c>
      <c r="E148" s="431">
        <f>IF('Farm and Buffer Assumptions'!D26=1,'Buffer Harvest Sched'!B48,0)</f>
        <v>0</v>
      </c>
      <c r="F148" s="434" t="s">
        <v>637</v>
      </c>
      <c r="G148" s="161">
        <f>'Buffer Harvest Sched'!B55</f>
        <v>0</v>
      </c>
      <c r="H148" s="50" t="s">
        <v>625</v>
      </c>
      <c r="J148" s="96" t="s">
        <v>426</v>
      </c>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c r="BI148" s="151"/>
      <c r="BJ148" s="151"/>
      <c r="BK148" s="151"/>
      <c r="BL148" s="151"/>
      <c r="BM148" s="151"/>
      <c r="BN148" s="151"/>
      <c r="BO148" s="151"/>
      <c r="BP148" s="151"/>
      <c r="BQ148" s="151"/>
      <c r="BR148" s="151"/>
      <c r="BS148" s="151"/>
      <c r="BT148" s="151"/>
      <c r="BU148" s="151"/>
      <c r="BV148" s="151"/>
      <c r="BW148" s="151"/>
      <c r="BX148" s="151"/>
      <c r="BY148" s="151"/>
      <c r="BZ148" s="151"/>
      <c r="CA148" s="151"/>
      <c r="CB148" s="151"/>
      <c r="CC148" s="151"/>
      <c r="CD148" s="151"/>
      <c r="CE148" s="151"/>
      <c r="CF148" s="151"/>
      <c r="CG148" s="151"/>
      <c r="CH148" s="151"/>
      <c r="CI148" s="151"/>
      <c r="CJ148" s="151"/>
      <c r="CK148" s="151"/>
      <c r="CL148" s="151"/>
      <c r="CM148" s="151"/>
      <c r="CN148" s="151"/>
      <c r="CO148" s="151"/>
      <c r="CP148" s="151"/>
      <c r="CQ148" s="151"/>
      <c r="CR148" s="151"/>
      <c r="CS148" s="151"/>
      <c r="CT148" s="151"/>
      <c r="CU148" s="151"/>
      <c r="CV148" s="151"/>
      <c r="CW148" s="151"/>
      <c r="CX148" s="151"/>
      <c r="CY148" s="151"/>
      <c r="CZ148" s="151"/>
      <c r="DA148" s="151"/>
      <c r="DB148" s="151"/>
      <c r="DC148" s="151"/>
      <c r="DD148" s="151"/>
      <c r="DE148" s="151"/>
      <c r="DF148" s="151"/>
    </row>
    <row r="149" spans="1:110" ht="27.75" customHeight="1">
      <c r="A149" s="97" t="s">
        <v>427</v>
      </c>
      <c r="B149" s="97">
        <v>35</v>
      </c>
      <c r="C149" s="97" t="s">
        <v>424</v>
      </c>
      <c r="D149" s="151">
        <f>AVERAGE('Buffer input prices'!C47:C48)</f>
        <v>338.125</v>
      </c>
      <c r="E149" s="431">
        <f>IF('Farm and Buffer Assumptions'!D26=1,'Buffer Harvest Sched'!B49,0)</f>
        <v>0</v>
      </c>
      <c r="F149" s="434" t="s">
        <v>637</v>
      </c>
      <c r="G149" s="161">
        <f>'Buffer Harvest Sched'!B56</f>
        <v>0</v>
      </c>
      <c r="H149" s="50" t="s">
        <v>626</v>
      </c>
      <c r="J149" s="96" t="s">
        <v>428</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c r="BI149" s="151"/>
      <c r="BJ149" s="151"/>
      <c r="BK149" s="151"/>
      <c r="BL149" s="151"/>
      <c r="BM149" s="151"/>
      <c r="BN149" s="151"/>
      <c r="BO149" s="151"/>
      <c r="BP149" s="151"/>
      <c r="BQ149" s="151"/>
      <c r="BR149" s="151"/>
      <c r="BS149" s="151"/>
      <c r="BT149" s="151"/>
      <c r="BU149" s="151"/>
      <c r="BV149" s="151"/>
      <c r="BW149" s="151"/>
      <c r="BX149" s="151"/>
      <c r="BY149" s="151"/>
      <c r="BZ149" s="151"/>
      <c r="CA149" s="151"/>
      <c r="CB149" s="151"/>
      <c r="CC149" s="151"/>
      <c r="CD149" s="151"/>
      <c r="CE149" s="151"/>
      <c r="CF149" s="151"/>
      <c r="CG149" s="151"/>
      <c r="CH149" s="151"/>
      <c r="CI149" s="151"/>
      <c r="CJ149" s="151"/>
      <c r="CK149" s="151"/>
      <c r="CL149" s="151"/>
      <c r="CM149" s="151"/>
      <c r="CN149" s="151"/>
      <c r="CO149" s="151"/>
      <c r="CP149" s="151"/>
      <c r="CQ149" s="151"/>
      <c r="CR149" s="151"/>
      <c r="CS149" s="151"/>
      <c r="CT149" s="151"/>
      <c r="CU149" s="151"/>
      <c r="CV149" s="151"/>
      <c r="CW149" s="151"/>
      <c r="CX149" s="151"/>
      <c r="CY149" s="151"/>
      <c r="CZ149" s="151"/>
      <c r="DA149" s="151"/>
      <c r="DB149" s="151"/>
      <c r="DC149" s="151"/>
      <c r="DD149" s="151"/>
      <c r="DE149" s="151"/>
      <c r="DF149" s="151"/>
    </row>
    <row r="150" spans="1:110" ht="18.75" customHeight="1">
      <c r="A150" s="154" t="s">
        <v>429</v>
      </c>
      <c r="B150" s="154"/>
      <c r="C150" s="100"/>
      <c r="D150" s="100"/>
      <c r="E150" s="208"/>
      <c r="F150" s="175"/>
      <c r="G150" s="185">
        <f>SUM(G142:G149)</f>
        <v>0</v>
      </c>
      <c r="H150" s="209"/>
      <c r="J150" s="96" t="s">
        <v>430</v>
      </c>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1"/>
      <c r="BJ150" s="151"/>
      <c r="BK150" s="151"/>
      <c r="BL150" s="151"/>
      <c r="BM150" s="151"/>
      <c r="BN150" s="151"/>
      <c r="BO150" s="151"/>
      <c r="BP150" s="151"/>
      <c r="BQ150" s="151"/>
      <c r="BR150" s="151"/>
      <c r="BS150" s="151"/>
      <c r="BT150" s="151"/>
      <c r="BU150" s="151"/>
      <c r="BV150" s="151"/>
      <c r="BW150" s="151"/>
      <c r="BX150" s="151"/>
      <c r="BY150" s="151"/>
      <c r="BZ150" s="151"/>
      <c r="CA150" s="151"/>
      <c r="CB150" s="151"/>
      <c r="CC150" s="151"/>
      <c r="CD150" s="151"/>
      <c r="CE150" s="151"/>
      <c r="CF150" s="151"/>
      <c r="CG150" s="151"/>
      <c r="CH150" s="151"/>
      <c r="CI150" s="151"/>
      <c r="CJ150" s="151"/>
      <c r="CK150" s="151"/>
      <c r="CL150" s="151"/>
      <c r="CM150" s="151"/>
      <c r="CN150" s="151"/>
      <c r="CO150" s="151"/>
      <c r="CP150" s="151"/>
      <c r="CQ150" s="151"/>
      <c r="CR150" s="151"/>
      <c r="CS150" s="151"/>
      <c r="CT150" s="151"/>
      <c r="CU150" s="151"/>
      <c r="CV150" s="151"/>
      <c r="CW150" s="151"/>
      <c r="CX150" s="151"/>
      <c r="CY150" s="151"/>
      <c r="CZ150" s="151"/>
      <c r="DA150" s="151"/>
      <c r="DB150" s="151"/>
      <c r="DC150" s="151"/>
      <c r="DD150" s="151"/>
      <c r="DE150" s="151"/>
      <c r="DF150" s="151"/>
    </row>
    <row r="151" spans="1:110" ht="18" customHeight="1" thickBot="1">
      <c r="A151" s="210"/>
      <c r="B151" s="18"/>
      <c r="C151" s="18"/>
      <c r="D151" s="18"/>
      <c r="E151" s="212"/>
      <c r="F151" s="213"/>
      <c r="G151" s="214"/>
      <c r="H151" s="211"/>
      <c r="J151" s="195" t="s">
        <v>431</v>
      </c>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c r="BI151" s="151"/>
      <c r="BJ151" s="151"/>
      <c r="BK151" s="151"/>
      <c r="BL151" s="151"/>
      <c r="BM151" s="151"/>
      <c r="BN151" s="151"/>
      <c r="BO151" s="151"/>
      <c r="BP151" s="151"/>
      <c r="BQ151" s="151"/>
      <c r="BR151" s="151"/>
      <c r="BS151" s="151"/>
      <c r="BT151" s="151"/>
      <c r="BU151" s="151"/>
      <c r="BV151" s="151"/>
      <c r="BW151" s="151"/>
      <c r="BX151" s="151"/>
      <c r="BY151" s="151"/>
      <c r="BZ151" s="151"/>
      <c r="CA151" s="151"/>
      <c r="CB151" s="151"/>
      <c r="CC151" s="151"/>
      <c r="CD151" s="151"/>
      <c r="CE151" s="151"/>
      <c r="CF151" s="151"/>
      <c r="CG151" s="151"/>
      <c r="CH151" s="151"/>
      <c r="CI151" s="151"/>
      <c r="CJ151" s="151"/>
      <c r="CK151" s="151"/>
      <c r="CL151" s="151"/>
      <c r="CM151" s="151"/>
      <c r="CN151" s="151"/>
      <c r="CO151" s="151"/>
      <c r="CP151" s="151"/>
      <c r="CQ151" s="151"/>
      <c r="CR151" s="151"/>
      <c r="CS151" s="151"/>
      <c r="CT151" s="151"/>
      <c r="CU151" s="151"/>
      <c r="CV151" s="151"/>
      <c r="CW151" s="151"/>
      <c r="CX151" s="151"/>
      <c r="CY151" s="151"/>
      <c r="CZ151" s="151"/>
      <c r="DA151" s="151"/>
      <c r="DB151" s="151"/>
      <c r="DC151" s="151"/>
      <c r="DD151" s="151"/>
      <c r="DE151" s="151"/>
      <c r="DF151" s="151"/>
    </row>
    <row r="152" spans="1:110" ht="25.5" customHeight="1" thickBot="1">
      <c r="A152" s="401" t="s">
        <v>343</v>
      </c>
      <c r="B152" s="402" t="s">
        <v>327</v>
      </c>
      <c r="C152" s="403" t="s">
        <v>83</v>
      </c>
      <c r="D152" s="404" t="s">
        <v>84</v>
      </c>
      <c r="E152" s="405" t="s">
        <v>85</v>
      </c>
      <c r="F152" s="404" t="s">
        <v>86</v>
      </c>
      <c r="G152" s="405" t="s">
        <v>328</v>
      </c>
      <c r="H152" s="406" t="s">
        <v>363</v>
      </c>
      <c r="J152" s="97" t="s">
        <v>432</v>
      </c>
      <c r="K152" s="151">
        <f>F156</f>
        <v>0</v>
      </c>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c r="CY152" s="97"/>
      <c r="CZ152" s="97"/>
      <c r="DA152" s="97"/>
      <c r="DB152" s="97"/>
      <c r="DC152" s="97"/>
      <c r="DD152" s="97"/>
      <c r="DE152" s="97"/>
      <c r="DF152" s="97"/>
    </row>
    <row r="153" spans="1:110" ht="40.5" customHeight="1">
      <c r="A153" s="96" t="s">
        <v>399</v>
      </c>
      <c r="B153" s="96">
        <v>1</v>
      </c>
      <c r="C153" s="97" t="s">
        <v>93</v>
      </c>
      <c r="D153" s="160">
        <f>'Buffer input prices'!D35</f>
        <v>850</v>
      </c>
      <c r="E153" s="139">
        <f>IF('Farm and Buffer Assumptions'!$D$26=1,1,0)</f>
        <v>0</v>
      </c>
      <c r="F153" s="215">
        <f>E153*D153</f>
        <v>0</v>
      </c>
      <c r="G153" s="207">
        <f>F153</f>
        <v>0</v>
      </c>
      <c r="H153" s="211" t="s">
        <v>400</v>
      </c>
      <c r="J153" s="97" t="s">
        <v>433</v>
      </c>
      <c r="K153" s="97">
        <v>0</v>
      </c>
      <c r="L153" s="151">
        <f>F159</f>
        <v>0</v>
      </c>
      <c r="M153" s="151">
        <f>F159</f>
        <v>0</v>
      </c>
      <c r="N153" s="151">
        <f>F159</f>
        <v>0</v>
      </c>
      <c r="O153" s="151">
        <f>F159</f>
        <v>0</v>
      </c>
      <c r="P153" s="151">
        <f>F159</f>
        <v>0</v>
      </c>
      <c r="Q153" s="151">
        <f aca="true" t="shared" si="44" ref="Q153:CB153">$F$72</f>
        <v>266</v>
      </c>
      <c r="R153" s="151">
        <f t="shared" si="44"/>
        <v>266</v>
      </c>
      <c r="S153" s="151">
        <f t="shared" si="44"/>
        <v>266</v>
      </c>
      <c r="T153" s="151">
        <f t="shared" si="44"/>
        <v>266</v>
      </c>
      <c r="U153" s="151">
        <f t="shared" si="44"/>
        <v>266</v>
      </c>
      <c r="V153" s="151">
        <f t="shared" si="44"/>
        <v>266</v>
      </c>
      <c r="W153" s="151">
        <f t="shared" si="44"/>
        <v>266</v>
      </c>
      <c r="X153" s="151">
        <f t="shared" si="44"/>
        <v>266</v>
      </c>
      <c r="Y153" s="151">
        <f t="shared" si="44"/>
        <v>266</v>
      </c>
      <c r="Z153" s="151">
        <f t="shared" si="44"/>
        <v>266</v>
      </c>
      <c r="AA153" s="151">
        <f t="shared" si="44"/>
        <v>266</v>
      </c>
      <c r="AB153" s="151">
        <f t="shared" si="44"/>
        <v>266</v>
      </c>
      <c r="AC153" s="151">
        <f t="shared" si="44"/>
        <v>266</v>
      </c>
      <c r="AD153" s="151">
        <f t="shared" si="44"/>
        <v>266</v>
      </c>
      <c r="AE153" s="151">
        <f t="shared" si="44"/>
        <v>266</v>
      </c>
      <c r="AF153" s="151">
        <f t="shared" si="44"/>
        <v>266</v>
      </c>
      <c r="AG153" s="151">
        <f t="shared" si="44"/>
        <v>266</v>
      </c>
      <c r="AH153" s="151">
        <f t="shared" si="44"/>
        <v>266</v>
      </c>
      <c r="AI153" s="151">
        <f t="shared" si="44"/>
        <v>266</v>
      </c>
      <c r="AJ153" s="151">
        <f t="shared" si="44"/>
        <v>266</v>
      </c>
      <c r="AK153" s="151">
        <f t="shared" si="44"/>
        <v>266</v>
      </c>
      <c r="AL153" s="151">
        <f t="shared" si="44"/>
        <v>266</v>
      </c>
      <c r="AM153" s="151">
        <f t="shared" si="44"/>
        <v>266</v>
      </c>
      <c r="AN153" s="151">
        <f t="shared" si="44"/>
        <v>266</v>
      </c>
      <c r="AO153" s="151">
        <f t="shared" si="44"/>
        <v>266</v>
      </c>
      <c r="AP153" s="151">
        <f t="shared" si="44"/>
        <v>266</v>
      </c>
      <c r="AQ153" s="151">
        <f t="shared" si="44"/>
        <v>266</v>
      </c>
      <c r="AR153" s="151">
        <f t="shared" si="44"/>
        <v>266</v>
      </c>
      <c r="AS153" s="151">
        <f t="shared" si="44"/>
        <v>266</v>
      </c>
      <c r="AT153" s="151">
        <f t="shared" si="44"/>
        <v>266</v>
      </c>
      <c r="AU153" s="151">
        <f t="shared" si="44"/>
        <v>266</v>
      </c>
      <c r="AV153" s="151">
        <f t="shared" si="44"/>
        <v>266</v>
      </c>
      <c r="AW153" s="151">
        <f t="shared" si="44"/>
        <v>266</v>
      </c>
      <c r="AX153" s="151">
        <f t="shared" si="44"/>
        <v>266</v>
      </c>
      <c r="AY153" s="151">
        <f t="shared" si="44"/>
        <v>266</v>
      </c>
      <c r="AZ153" s="151">
        <f t="shared" si="44"/>
        <v>266</v>
      </c>
      <c r="BA153" s="151">
        <f t="shared" si="44"/>
        <v>266</v>
      </c>
      <c r="BB153" s="151">
        <f t="shared" si="44"/>
        <v>266</v>
      </c>
      <c r="BC153" s="151">
        <f t="shared" si="44"/>
        <v>266</v>
      </c>
      <c r="BD153" s="151">
        <f t="shared" si="44"/>
        <v>266</v>
      </c>
      <c r="BE153" s="151">
        <f t="shared" si="44"/>
        <v>266</v>
      </c>
      <c r="BF153" s="151">
        <f t="shared" si="44"/>
        <v>266</v>
      </c>
      <c r="BG153" s="151">
        <f t="shared" si="44"/>
        <v>266</v>
      </c>
      <c r="BH153" s="151">
        <f t="shared" si="44"/>
        <v>266</v>
      </c>
      <c r="BI153" s="151">
        <f t="shared" si="44"/>
        <v>266</v>
      </c>
      <c r="BJ153" s="151">
        <f t="shared" si="44"/>
        <v>266</v>
      </c>
      <c r="BK153" s="151">
        <f t="shared" si="44"/>
        <v>266</v>
      </c>
      <c r="BL153" s="151">
        <f t="shared" si="44"/>
        <v>266</v>
      </c>
      <c r="BM153" s="151">
        <f t="shared" si="44"/>
        <v>266</v>
      </c>
      <c r="BN153" s="151">
        <f t="shared" si="44"/>
        <v>266</v>
      </c>
      <c r="BO153" s="151">
        <f t="shared" si="44"/>
        <v>266</v>
      </c>
      <c r="BP153" s="151">
        <f t="shared" si="44"/>
        <v>266</v>
      </c>
      <c r="BQ153" s="151">
        <f t="shared" si="44"/>
        <v>266</v>
      </c>
      <c r="BR153" s="151">
        <f t="shared" si="44"/>
        <v>266</v>
      </c>
      <c r="BS153" s="151">
        <f t="shared" si="44"/>
        <v>266</v>
      </c>
      <c r="BT153" s="151">
        <f t="shared" si="44"/>
        <v>266</v>
      </c>
      <c r="BU153" s="151">
        <f t="shared" si="44"/>
        <v>266</v>
      </c>
      <c r="BV153" s="151">
        <f t="shared" si="44"/>
        <v>266</v>
      </c>
      <c r="BW153" s="151">
        <f t="shared" si="44"/>
        <v>266</v>
      </c>
      <c r="BX153" s="151">
        <f t="shared" si="44"/>
        <v>266</v>
      </c>
      <c r="BY153" s="151">
        <f t="shared" si="44"/>
        <v>266</v>
      </c>
      <c r="BZ153" s="151">
        <f t="shared" si="44"/>
        <v>266</v>
      </c>
      <c r="CA153" s="151">
        <f t="shared" si="44"/>
        <v>266</v>
      </c>
      <c r="CB153" s="151">
        <f t="shared" si="44"/>
        <v>266</v>
      </c>
      <c r="CC153" s="151">
        <f aca="true" t="shared" si="45" ref="CC153:DF153">$F$72</f>
        <v>266</v>
      </c>
      <c r="CD153" s="151">
        <f t="shared" si="45"/>
        <v>266</v>
      </c>
      <c r="CE153" s="151">
        <f t="shared" si="45"/>
        <v>266</v>
      </c>
      <c r="CF153" s="151">
        <f t="shared" si="45"/>
        <v>266</v>
      </c>
      <c r="CG153" s="151">
        <f t="shared" si="45"/>
        <v>266</v>
      </c>
      <c r="CH153" s="151">
        <f t="shared" si="45"/>
        <v>266</v>
      </c>
      <c r="CI153" s="151">
        <f t="shared" si="45"/>
        <v>266</v>
      </c>
      <c r="CJ153" s="151">
        <f t="shared" si="45"/>
        <v>266</v>
      </c>
      <c r="CK153" s="151">
        <f t="shared" si="45"/>
        <v>266</v>
      </c>
      <c r="CL153" s="151">
        <f t="shared" si="45"/>
        <v>266</v>
      </c>
      <c r="CM153" s="151">
        <f t="shared" si="45"/>
        <v>266</v>
      </c>
      <c r="CN153" s="151">
        <f t="shared" si="45"/>
        <v>266</v>
      </c>
      <c r="CO153" s="151">
        <f t="shared" si="45"/>
        <v>266</v>
      </c>
      <c r="CP153" s="151">
        <f t="shared" si="45"/>
        <v>266</v>
      </c>
      <c r="CQ153" s="151">
        <f t="shared" si="45"/>
        <v>266</v>
      </c>
      <c r="CR153" s="151">
        <f t="shared" si="45"/>
        <v>266</v>
      </c>
      <c r="CS153" s="151">
        <f t="shared" si="45"/>
        <v>266</v>
      </c>
      <c r="CT153" s="151">
        <f t="shared" si="45"/>
        <v>266</v>
      </c>
      <c r="CU153" s="151">
        <f t="shared" si="45"/>
        <v>266</v>
      </c>
      <c r="CV153" s="151">
        <f t="shared" si="45"/>
        <v>266</v>
      </c>
      <c r="CW153" s="151">
        <f t="shared" si="45"/>
        <v>266</v>
      </c>
      <c r="CX153" s="151">
        <f t="shared" si="45"/>
        <v>266</v>
      </c>
      <c r="CY153" s="151">
        <f t="shared" si="45"/>
        <v>266</v>
      </c>
      <c r="CZ153" s="151">
        <f t="shared" si="45"/>
        <v>266</v>
      </c>
      <c r="DA153" s="151">
        <f t="shared" si="45"/>
        <v>266</v>
      </c>
      <c r="DB153" s="151">
        <f t="shared" si="45"/>
        <v>266</v>
      </c>
      <c r="DC153" s="151">
        <f t="shared" si="45"/>
        <v>266</v>
      </c>
      <c r="DD153" s="151">
        <f t="shared" si="45"/>
        <v>266</v>
      </c>
      <c r="DE153" s="151">
        <f t="shared" si="45"/>
        <v>266</v>
      </c>
      <c r="DF153" s="151">
        <f t="shared" si="45"/>
        <v>266</v>
      </c>
    </row>
    <row r="154" spans="1:110" ht="63.75">
      <c r="A154" s="97" t="s">
        <v>414</v>
      </c>
      <c r="B154" s="97">
        <v>1</v>
      </c>
      <c r="C154" s="97" t="s">
        <v>93</v>
      </c>
      <c r="D154" s="160">
        <f>'Buffer input prices'!D32</f>
        <v>950</v>
      </c>
      <c r="E154" s="139">
        <f>IF('Farm and Buffer Assumptions'!$D$26=1,1,0)</f>
        <v>0</v>
      </c>
      <c r="F154" s="215">
        <f>E154*D154</f>
        <v>0</v>
      </c>
      <c r="G154" s="207">
        <f>F154</f>
        <v>0</v>
      </c>
      <c r="H154" s="211" t="s">
        <v>415</v>
      </c>
      <c r="J154" s="97" t="s">
        <v>434</v>
      </c>
      <c r="K154" s="97">
        <v>0</v>
      </c>
      <c r="L154" s="151">
        <f>F160</f>
        <v>0</v>
      </c>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c r="BI154" s="151"/>
      <c r="BJ154" s="151"/>
      <c r="BK154" s="151"/>
      <c r="BL154" s="151"/>
      <c r="BM154" s="151"/>
      <c r="BN154" s="151"/>
      <c r="BO154" s="151"/>
      <c r="BP154" s="151"/>
      <c r="BQ154" s="151"/>
      <c r="BR154" s="151"/>
      <c r="BS154" s="151"/>
      <c r="BT154" s="151"/>
      <c r="BU154" s="151"/>
      <c r="BV154" s="151"/>
      <c r="BW154" s="151"/>
      <c r="BX154" s="151"/>
      <c r="BY154" s="151"/>
      <c r="BZ154" s="151"/>
      <c r="CA154" s="151"/>
      <c r="CB154" s="151"/>
      <c r="CC154" s="151"/>
      <c r="CD154" s="151"/>
      <c r="CE154" s="151"/>
      <c r="CF154" s="151"/>
      <c r="CG154" s="151"/>
      <c r="CH154" s="151"/>
      <c r="CI154" s="151"/>
      <c r="CJ154" s="151"/>
      <c r="CK154" s="151"/>
      <c r="CL154" s="151"/>
      <c r="CM154" s="151"/>
      <c r="CN154" s="151"/>
      <c r="CO154" s="151"/>
      <c r="CP154" s="151"/>
      <c r="CQ154" s="151"/>
      <c r="CR154" s="151"/>
      <c r="CS154" s="151"/>
      <c r="CT154" s="151"/>
      <c r="CU154" s="151"/>
      <c r="CV154" s="151"/>
      <c r="CW154" s="151"/>
      <c r="CX154" s="151"/>
      <c r="CY154" s="151"/>
      <c r="CZ154" s="151"/>
      <c r="DA154" s="151"/>
      <c r="DB154" s="151"/>
      <c r="DC154" s="151"/>
      <c r="DD154" s="151"/>
      <c r="DE154" s="151"/>
      <c r="DF154" s="151"/>
    </row>
    <row r="155" spans="1:110" ht="55.5" customHeight="1">
      <c r="A155" s="97" t="s">
        <v>416</v>
      </c>
      <c r="B155" s="97">
        <v>1</v>
      </c>
      <c r="C155" s="97" t="s">
        <v>93</v>
      </c>
      <c r="D155" s="160">
        <f>'Buffer input prices'!D33</f>
        <v>568</v>
      </c>
      <c r="E155" s="139">
        <f>IF('Farm and Buffer Assumptions'!$D$26=1,1,0)</f>
        <v>0</v>
      </c>
      <c r="F155" s="215">
        <f>E155*D155</f>
        <v>0</v>
      </c>
      <c r="G155" s="207">
        <f>F155</f>
        <v>0</v>
      </c>
      <c r="H155" s="211" t="s">
        <v>435</v>
      </c>
      <c r="J155" s="97" t="s">
        <v>436</v>
      </c>
      <c r="K155" s="97"/>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c r="BI155" s="151"/>
      <c r="BJ155" s="151"/>
      <c r="BK155" s="151"/>
      <c r="BL155" s="151"/>
      <c r="BM155" s="151"/>
      <c r="BN155" s="151"/>
      <c r="BO155" s="151"/>
      <c r="BP155" s="151"/>
      <c r="BQ155" s="151"/>
      <c r="BR155" s="151"/>
      <c r="BS155" s="151"/>
      <c r="BT155" s="151"/>
      <c r="BU155" s="151"/>
      <c r="BV155" s="151"/>
      <c r="BW155" s="151"/>
      <c r="BX155" s="151"/>
      <c r="BY155" s="151"/>
      <c r="BZ155" s="151"/>
      <c r="CA155" s="151"/>
      <c r="CB155" s="151"/>
      <c r="CC155" s="151"/>
      <c r="CD155" s="151"/>
      <c r="CE155" s="151"/>
      <c r="CF155" s="151"/>
      <c r="CG155" s="151"/>
      <c r="CH155" s="151"/>
      <c r="CI155" s="151"/>
      <c r="CJ155" s="151"/>
      <c r="CK155" s="151"/>
      <c r="CL155" s="151"/>
      <c r="CM155" s="151"/>
      <c r="CN155" s="151"/>
      <c r="CO155" s="151"/>
      <c r="CP155" s="151"/>
      <c r="CQ155" s="151"/>
      <c r="CR155" s="151"/>
      <c r="CS155" s="151"/>
      <c r="CT155" s="151"/>
      <c r="CU155" s="151"/>
      <c r="CV155" s="151"/>
      <c r="CW155" s="151"/>
      <c r="CX155" s="151"/>
      <c r="CY155" s="151"/>
      <c r="CZ155" s="151"/>
      <c r="DA155" s="151"/>
      <c r="DB155" s="151"/>
      <c r="DC155" s="151"/>
      <c r="DD155" s="151"/>
      <c r="DE155" s="151"/>
      <c r="DF155" s="151"/>
    </row>
    <row r="156" spans="1:110" ht="18" customHeight="1">
      <c r="A156" s="100" t="s">
        <v>346</v>
      </c>
      <c r="B156" s="97"/>
      <c r="C156" s="97"/>
      <c r="D156" s="160"/>
      <c r="E156" s="139"/>
      <c r="F156" s="175">
        <f>SUM(F153:F155)</f>
        <v>0</v>
      </c>
      <c r="G156" s="185">
        <f>SUM(G153:G155)</f>
        <v>0</v>
      </c>
      <c r="H156" s="211"/>
      <c r="J156" s="97" t="s">
        <v>437</v>
      </c>
      <c r="K156" s="97"/>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c r="BI156" s="151"/>
      <c r="BJ156" s="151"/>
      <c r="BK156" s="151"/>
      <c r="BL156" s="151"/>
      <c r="BM156" s="151"/>
      <c r="BN156" s="151"/>
      <c r="BO156" s="151"/>
      <c r="BP156" s="151"/>
      <c r="BQ156" s="151"/>
      <c r="BR156" s="151"/>
      <c r="BS156" s="151"/>
      <c r="BT156" s="151"/>
      <c r="BU156" s="151"/>
      <c r="BV156" s="151"/>
      <c r="BW156" s="151"/>
      <c r="BX156" s="151"/>
      <c r="BY156" s="151"/>
      <c r="BZ156" s="151"/>
      <c r="CA156" s="151"/>
      <c r="CB156" s="151"/>
      <c r="CC156" s="151"/>
      <c r="CD156" s="151"/>
      <c r="CE156" s="151"/>
      <c r="CF156" s="151"/>
      <c r="CG156" s="151"/>
      <c r="CH156" s="151"/>
      <c r="CI156" s="151"/>
      <c r="CJ156" s="151"/>
      <c r="CK156" s="151"/>
      <c r="CL156" s="151"/>
      <c r="CM156" s="151"/>
      <c r="CN156" s="151"/>
      <c r="CO156" s="151"/>
      <c r="CP156" s="151"/>
      <c r="CQ156" s="151"/>
      <c r="CR156" s="151"/>
      <c r="CS156" s="151"/>
      <c r="CT156" s="151"/>
      <c r="CU156" s="151"/>
      <c r="CV156" s="151"/>
      <c r="CW156" s="151"/>
      <c r="CX156" s="151"/>
      <c r="CY156" s="151"/>
      <c r="CZ156" s="151"/>
      <c r="DA156" s="151"/>
      <c r="DB156" s="151"/>
      <c r="DC156" s="151"/>
      <c r="DD156" s="151"/>
      <c r="DE156" s="151"/>
      <c r="DF156" s="151"/>
    </row>
    <row r="157" spans="1:110" ht="18" customHeight="1" thickBot="1">
      <c r="A157" s="217"/>
      <c r="B157" s="172"/>
      <c r="C157" s="172"/>
      <c r="D157" s="218"/>
      <c r="E157" s="219"/>
      <c r="F157" s="219"/>
      <c r="G157" s="220"/>
      <c r="H157" s="211"/>
      <c r="J157" s="97" t="s">
        <v>438</v>
      </c>
      <c r="K157" s="97"/>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c r="BI157" s="151"/>
      <c r="BJ157" s="151"/>
      <c r="BK157" s="151"/>
      <c r="BL157" s="151"/>
      <c r="BM157" s="151"/>
      <c r="BN157" s="151"/>
      <c r="BO157" s="151"/>
      <c r="BP157" s="151"/>
      <c r="BQ157" s="151"/>
      <c r="BR157" s="151"/>
      <c r="BS157" s="151"/>
      <c r="BT157" s="151"/>
      <c r="BU157" s="151"/>
      <c r="BV157" s="151"/>
      <c r="BW157" s="151"/>
      <c r="BX157" s="151"/>
      <c r="BY157" s="151"/>
      <c r="BZ157" s="151"/>
      <c r="CA157" s="151"/>
      <c r="CB157" s="151"/>
      <c r="CC157" s="151"/>
      <c r="CD157" s="151"/>
      <c r="CE157" s="151"/>
      <c r="CF157" s="151"/>
      <c r="CG157" s="151"/>
      <c r="CH157" s="151"/>
      <c r="CI157" s="151"/>
      <c r="CJ157" s="151"/>
      <c r="CK157" s="151"/>
      <c r="CL157" s="151"/>
      <c r="CM157" s="151"/>
      <c r="CN157" s="151"/>
      <c r="CO157" s="151"/>
      <c r="CP157" s="151"/>
      <c r="CQ157" s="151"/>
      <c r="CR157" s="151"/>
      <c r="CS157" s="151"/>
      <c r="CT157" s="151"/>
      <c r="CU157" s="151"/>
      <c r="CV157" s="151"/>
      <c r="CW157" s="151"/>
      <c r="CX157" s="151"/>
      <c r="CY157" s="151"/>
      <c r="CZ157" s="151"/>
      <c r="DA157" s="151"/>
      <c r="DB157" s="151"/>
      <c r="DC157" s="151"/>
      <c r="DD157" s="151"/>
      <c r="DE157" s="151"/>
      <c r="DF157" s="151"/>
    </row>
    <row r="158" spans="1:110" ht="26.25" customHeight="1" thickBot="1">
      <c r="A158" s="401" t="s">
        <v>439</v>
      </c>
      <c r="B158" s="402" t="s">
        <v>327</v>
      </c>
      <c r="C158" s="403" t="s">
        <v>83</v>
      </c>
      <c r="D158" s="404" t="s">
        <v>84</v>
      </c>
      <c r="E158" s="405" t="s">
        <v>85</v>
      </c>
      <c r="F158" s="404" t="s">
        <v>86</v>
      </c>
      <c r="G158" s="405" t="s">
        <v>328</v>
      </c>
      <c r="H158" s="406"/>
      <c r="J158" s="97" t="s">
        <v>440</v>
      </c>
      <c r="K158" s="97"/>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c r="BI158" s="151"/>
      <c r="BJ158" s="151"/>
      <c r="BK158" s="151"/>
      <c r="BL158" s="151"/>
      <c r="BM158" s="151"/>
      <c r="BN158" s="151"/>
      <c r="BO158" s="151"/>
      <c r="BP158" s="151"/>
      <c r="BQ158" s="151"/>
      <c r="BR158" s="151"/>
      <c r="BS158" s="151"/>
      <c r="BT158" s="151"/>
      <c r="BU158" s="151"/>
      <c r="BV158" s="151"/>
      <c r="BW158" s="151"/>
      <c r="BX158" s="151"/>
      <c r="BY158" s="151"/>
      <c r="BZ158" s="151"/>
      <c r="CA158" s="151"/>
      <c r="CB158" s="151"/>
      <c r="CC158" s="151"/>
      <c r="CD158" s="151"/>
      <c r="CE158" s="151"/>
      <c r="CF158" s="151"/>
      <c r="CG158" s="151"/>
      <c r="CH158" s="151"/>
      <c r="CI158" s="151"/>
      <c r="CJ158" s="151"/>
      <c r="CK158" s="151"/>
      <c r="CL158" s="151"/>
      <c r="CM158" s="151"/>
      <c r="CN158" s="151"/>
      <c r="CO158" s="151"/>
      <c r="CP158" s="151"/>
      <c r="CQ158" s="151"/>
      <c r="CR158" s="151"/>
      <c r="CS158" s="151"/>
      <c r="CT158" s="151"/>
      <c r="CU158" s="151"/>
      <c r="CV158" s="151"/>
      <c r="CW158" s="151"/>
      <c r="CX158" s="151"/>
      <c r="CY158" s="151"/>
      <c r="CZ158" s="151"/>
      <c r="DA158" s="151"/>
      <c r="DB158" s="151"/>
      <c r="DC158" s="151"/>
      <c r="DD158" s="151"/>
      <c r="DE158" s="151"/>
      <c r="DF158" s="151"/>
    </row>
    <row r="159" spans="1:110" ht="43.5" customHeight="1">
      <c r="A159" s="97" t="s">
        <v>350</v>
      </c>
      <c r="B159" s="97">
        <v>5</v>
      </c>
      <c r="C159" s="97" t="s">
        <v>93</v>
      </c>
      <c r="D159" s="160">
        <f>'Buffer input prices'!D37</f>
        <v>350</v>
      </c>
      <c r="E159" s="139">
        <f>IF('Farm and Buffer Assumptions'!$D$26=1,1,0)</f>
        <v>0</v>
      </c>
      <c r="F159" s="215">
        <f>E159*D159</f>
        <v>0</v>
      </c>
      <c r="G159" s="207">
        <f>-PV('Farm and Buffer Assumptions'!D20,B159,F159)</f>
        <v>0</v>
      </c>
      <c r="H159" s="211" t="s">
        <v>406</v>
      </c>
      <c r="J159" s="97" t="s">
        <v>441</v>
      </c>
      <c r="K159" s="97"/>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c r="BI159" s="151"/>
      <c r="BJ159" s="151"/>
      <c r="BK159" s="151"/>
      <c r="BL159" s="151"/>
      <c r="BM159" s="151"/>
      <c r="BN159" s="151"/>
      <c r="BO159" s="151"/>
      <c r="BP159" s="151"/>
      <c r="BQ159" s="151"/>
      <c r="BR159" s="151"/>
      <c r="BS159" s="151"/>
      <c r="BT159" s="151"/>
      <c r="BU159" s="151"/>
      <c r="BV159" s="151"/>
      <c r="BW159" s="151"/>
      <c r="BX159" s="151"/>
      <c r="BY159" s="151"/>
      <c r="BZ159" s="151"/>
      <c r="CA159" s="151"/>
      <c r="CB159" s="151"/>
      <c r="CC159" s="151"/>
      <c r="CD159" s="151"/>
      <c r="CE159" s="151"/>
      <c r="CF159" s="151"/>
      <c r="CG159" s="151"/>
      <c r="CH159" s="151"/>
      <c r="CI159" s="151"/>
      <c r="CJ159" s="151"/>
      <c r="CK159" s="151"/>
      <c r="CL159" s="151"/>
      <c r="CM159" s="151"/>
      <c r="CN159" s="151"/>
      <c r="CO159" s="151"/>
      <c r="CP159" s="151"/>
      <c r="CQ159" s="151"/>
      <c r="CR159" s="151"/>
      <c r="CS159" s="151"/>
      <c r="CT159" s="151"/>
      <c r="CU159" s="151"/>
      <c r="CV159" s="151"/>
      <c r="CW159" s="151"/>
      <c r="CX159" s="151"/>
      <c r="CY159" s="151"/>
      <c r="CZ159" s="151"/>
      <c r="DA159" s="151"/>
      <c r="DB159" s="151"/>
      <c r="DC159" s="151"/>
      <c r="DD159" s="151"/>
      <c r="DE159" s="151"/>
      <c r="DF159" s="151"/>
    </row>
    <row r="160" spans="1:110" ht="18" customHeight="1">
      <c r="A160" s="97" t="s">
        <v>417</v>
      </c>
      <c r="B160" s="97">
        <v>2</v>
      </c>
      <c r="C160" s="97" t="s">
        <v>93</v>
      </c>
      <c r="D160" s="160">
        <f>D154</f>
        <v>950</v>
      </c>
      <c r="E160" s="411">
        <f>IF('Farm and Buffer Assumptions'!$D$26=1,0.1,0)</f>
        <v>0</v>
      </c>
      <c r="F160" s="215">
        <f>E160*D160</f>
        <v>0</v>
      </c>
      <c r="G160" s="207">
        <f>F160/(1+'Farm and Buffer Assumptions'!D20)^2</f>
        <v>0</v>
      </c>
      <c r="H160" s="211" t="s">
        <v>418</v>
      </c>
      <c r="J160" s="97" t="s">
        <v>442</v>
      </c>
      <c r="K160" s="97"/>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c r="BI160" s="151"/>
      <c r="BJ160" s="151"/>
      <c r="BK160" s="151"/>
      <c r="BL160" s="151"/>
      <c r="BM160" s="151"/>
      <c r="BN160" s="151"/>
      <c r="BO160" s="151"/>
      <c r="BP160" s="151"/>
      <c r="BQ160" s="151"/>
      <c r="BR160" s="151"/>
      <c r="BS160" s="151"/>
      <c r="BT160" s="151"/>
      <c r="BU160" s="151"/>
      <c r="BV160" s="151"/>
      <c r="BW160" s="151"/>
      <c r="BX160" s="151"/>
      <c r="BY160" s="151"/>
      <c r="BZ160" s="151"/>
      <c r="CA160" s="151"/>
      <c r="CB160" s="151"/>
      <c r="CC160" s="151"/>
      <c r="CD160" s="151"/>
      <c r="CE160" s="151"/>
      <c r="CF160" s="151"/>
      <c r="CG160" s="151"/>
      <c r="CH160" s="151"/>
      <c r="CI160" s="151"/>
      <c r="CJ160" s="151"/>
      <c r="CK160" s="151"/>
      <c r="CL160" s="151"/>
      <c r="CM160" s="151"/>
      <c r="CN160" s="151"/>
      <c r="CO160" s="151"/>
      <c r="CP160" s="151"/>
      <c r="CQ160" s="151"/>
      <c r="CR160" s="151"/>
      <c r="CS160" s="151"/>
      <c r="CT160" s="151"/>
      <c r="CU160" s="151"/>
      <c r="CV160" s="151"/>
      <c r="CW160" s="151"/>
      <c r="CX160" s="151"/>
      <c r="CY160" s="151"/>
      <c r="CZ160" s="151"/>
      <c r="DA160" s="151"/>
      <c r="DB160" s="151"/>
      <c r="DC160" s="151"/>
      <c r="DD160" s="151"/>
      <c r="DE160" s="151"/>
      <c r="DF160" s="151"/>
    </row>
    <row r="161" spans="1:110" ht="18" customHeight="1">
      <c r="A161" s="97" t="s">
        <v>443</v>
      </c>
      <c r="B161" s="413">
        <v>15</v>
      </c>
      <c r="C161" s="97" t="s">
        <v>93</v>
      </c>
      <c r="D161" s="160">
        <f>'Buffer input prices'!D38</f>
        <v>100</v>
      </c>
      <c r="E161" s="139">
        <f>'Farm and Buffer Assumptions'!D29</f>
        <v>0</v>
      </c>
      <c r="F161" s="215">
        <f>E161*D161</f>
        <v>0</v>
      </c>
      <c r="G161" s="152">
        <f>F161/(1+'Farm and Buffer Assumptions'!D20)^B161</f>
        <v>0</v>
      </c>
      <c r="H161" s="211"/>
      <c r="J161" s="190" t="s">
        <v>344</v>
      </c>
      <c r="K161" s="135">
        <f>SUM(K143:K150)-SUM(K152:K160)</f>
        <v>0</v>
      </c>
      <c r="L161" s="135">
        <f aca="true" t="shared" si="46" ref="L161:BW161">SUM(L143:L150)-SUM(L152:L160)</f>
        <v>0</v>
      </c>
      <c r="M161" s="135">
        <f t="shared" si="46"/>
        <v>0</v>
      </c>
      <c r="N161" s="135">
        <f t="shared" si="46"/>
        <v>0</v>
      </c>
      <c r="O161" s="135">
        <f t="shared" si="46"/>
        <v>0</v>
      </c>
      <c r="P161" s="135">
        <f t="shared" si="46"/>
        <v>0</v>
      </c>
      <c r="Q161" s="135">
        <f t="shared" si="46"/>
        <v>-266</v>
      </c>
      <c r="R161" s="135">
        <f t="shared" si="46"/>
        <v>-266</v>
      </c>
      <c r="S161" s="135">
        <f t="shared" si="46"/>
        <v>-266</v>
      </c>
      <c r="T161" s="135">
        <f t="shared" si="46"/>
        <v>-266</v>
      </c>
      <c r="U161" s="135">
        <f t="shared" si="46"/>
        <v>-266</v>
      </c>
      <c r="V161" s="135">
        <f t="shared" si="46"/>
        <v>-266</v>
      </c>
      <c r="W161" s="135">
        <f t="shared" si="46"/>
        <v>-266</v>
      </c>
      <c r="X161" s="135">
        <f t="shared" si="46"/>
        <v>-266</v>
      </c>
      <c r="Y161" s="135">
        <f t="shared" si="46"/>
        <v>-266</v>
      </c>
      <c r="Z161" s="135">
        <f t="shared" si="46"/>
        <v>-266</v>
      </c>
      <c r="AA161" s="135">
        <f t="shared" si="46"/>
        <v>-266</v>
      </c>
      <c r="AB161" s="135">
        <f t="shared" si="46"/>
        <v>-266</v>
      </c>
      <c r="AC161" s="135">
        <f t="shared" si="46"/>
        <v>-266</v>
      </c>
      <c r="AD161" s="135">
        <f t="shared" si="46"/>
        <v>-266</v>
      </c>
      <c r="AE161" s="135">
        <f t="shared" si="46"/>
        <v>-266</v>
      </c>
      <c r="AF161" s="135">
        <f t="shared" si="46"/>
        <v>-266</v>
      </c>
      <c r="AG161" s="135">
        <f t="shared" si="46"/>
        <v>-266</v>
      </c>
      <c r="AH161" s="135">
        <f t="shared" si="46"/>
        <v>-266</v>
      </c>
      <c r="AI161" s="135">
        <f t="shared" si="46"/>
        <v>-266</v>
      </c>
      <c r="AJ161" s="135">
        <f t="shared" si="46"/>
        <v>-266</v>
      </c>
      <c r="AK161" s="135">
        <f t="shared" si="46"/>
        <v>-266</v>
      </c>
      <c r="AL161" s="135">
        <f t="shared" si="46"/>
        <v>-266</v>
      </c>
      <c r="AM161" s="135">
        <f t="shared" si="46"/>
        <v>-266</v>
      </c>
      <c r="AN161" s="135">
        <f t="shared" si="46"/>
        <v>-266</v>
      </c>
      <c r="AO161" s="135">
        <f t="shared" si="46"/>
        <v>-266</v>
      </c>
      <c r="AP161" s="135">
        <f t="shared" si="46"/>
        <v>-266</v>
      </c>
      <c r="AQ161" s="135">
        <f t="shared" si="46"/>
        <v>-266</v>
      </c>
      <c r="AR161" s="135">
        <f t="shared" si="46"/>
        <v>-266</v>
      </c>
      <c r="AS161" s="135">
        <f t="shared" si="46"/>
        <v>-266</v>
      </c>
      <c r="AT161" s="135">
        <f t="shared" si="46"/>
        <v>-266</v>
      </c>
      <c r="AU161" s="135">
        <f t="shared" si="46"/>
        <v>-266</v>
      </c>
      <c r="AV161" s="135">
        <f t="shared" si="46"/>
        <v>-266</v>
      </c>
      <c r="AW161" s="135">
        <f t="shared" si="46"/>
        <v>-266</v>
      </c>
      <c r="AX161" s="135">
        <f t="shared" si="46"/>
        <v>-266</v>
      </c>
      <c r="AY161" s="135">
        <f t="shared" si="46"/>
        <v>-266</v>
      </c>
      <c r="AZ161" s="135">
        <f t="shared" si="46"/>
        <v>-266</v>
      </c>
      <c r="BA161" s="135">
        <f t="shared" si="46"/>
        <v>-266</v>
      </c>
      <c r="BB161" s="135">
        <f t="shared" si="46"/>
        <v>-266</v>
      </c>
      <c r="BC161" s="135">
        <f t="shared" si="46"/>
        <v>-266</v>
      </c>
      <c r="BD161" s="135">
        <f t="shared" si="46"/>
        <v>-266</v>
      </c>
      <c r="BE161" s="135">
        <f t="shared" si="46"/>
        <v>-266</v>
      </c>
      <c r="BF161" s="135">
        <f t="shared" si="46"/>
        <v>-266</v>
      </c>
      <c r="BG161" s="135">
        <f t="shared" si="46"/>
        <v>-266</v>
      </c>
      <c r="BH161" s="135">
        <f t="shared" si="46"/>
        <v>-266</v>
      </c>
      <c r="BI161" s="135">
        <f t="shared" si="46"/>
        <v>-266</v>
      </c>
      <c r="BJ161" s="135">
        <f t="shared" si="46"/>
        <v>-266</v>
      </c>
      <c r="BK161" s="135">
        <f t="shared" si="46"/>
        <v>-266</v>
      </c>
      <c r="BL161" s="135">
        <f t="shared" si="46"/>
        <v>-266</v>
      </c>
      <c r="BM161" s="135">
        <f t="shared" si="46"/>
        <v>-266</v>
      </c>
      <c r="BN161" s="135">
        <f t="shared" si="46"/>
        <v>-266</v>
      </c>
      <c r="BO161" s="135">
        <f t="shared" si="46"/>
        <v>-266</v>
      </c>
      <c r="BP161" s="135">
        <f t="shared" si="46"/>
        <v>-266</v>
      </c>
      <c r="BQ161" s="135">
        <f t="shared" si="46"/>
        <v>-266</v>
      </c>
      <c r="BR161" s="135">
        <f t="shared" si="46"/>
        <v>-266</v>
      </c>
      <c r="BS161" s="135">
        <f t="shared" si="46"/>
        <v>-266</v>
      </c>
      <c r="BT161" s="135">
        <f t="shared" si="46"/>
        <v>-266</v>
      </c>
      <c r="BU161" s="135">
        <f t="shared" si="46"/>
        <v>-266</v>
      </c>
      <c r="BV161" s="135">
        <f t="shared" si="46"/>
        <v>-266</v>
      </c>
      <c r="BW161" s="135">
        <f t="shared" si="46"/>
        <v>-266</v>
      </c>
      <c r="BX161" s="135">
        <f aca="true" t="shared" si="47" ref="BX161:DF161">SUM(BX143:BX150)-SUM(BX152:BX160)</f>
        <v>-266</v>
      </c>
      <c r="BY161" s="135">
        <f t="shared" si="47"/>
        <v>-266</v>
      </c>
      <c r="BZ161" s="135">
        <f t="shared" si="47"/>
        <v>-266</v>
      </c>
      <c r="CA161" s="135">
        <f t="shared" si="47"/>
        <v>-266</v>
      </c>
      <c r="CB161" s="135">
        <f t="shared" si="47"/>
        <v>-266</v>
      </c>
      <c r="CC161" s="135">
        <f t="shared" si="47"/>
        <v>-266</v>
      </c>
      <c r="CD161" s="135">
        <f t="shared" si="47"/>
        <v>-266</v>
      </c>
      <c r="CE161" s="135">
        <f t="shared" si="47"/>
        <v>-266</v>
      </c>
      <c r="CF161" s="135">
        <f t="shared" si="47"/>
        <v>-266</v>
      </c>
      <c r="CG161" s="135">
        <f t="shared" si="47"/>
        <v>-266</v>
      </c>
      <c r="CH161" s="135">
        <f t="shared" si="47"/>
        <v>-266</v>
      </c>
      <c r="CI161" s="135">
        <f t="shared" si="47"/>
        <v>-266</v>
      </c>
      <c r="CJ161" s="135">
        <f t="shared" si="47"/>
        <v>-266</v>
      </c>
      <c r="CK161" s="135">
        <f t="shared" si="47"/>
        <v>-266</v>
      </c>
      <c r="CL161" s="135">
        <f t="shared" si="47"/>
        <v>-266</v>
      </c>
      <c r="CM161" s="135">
        <f t="shared" si="47"/>
        <v>-266</v>
      </c>
      <c r="CN161" s="135">
        <f t="shared" si="47"/>
        <v>-266</v>
      </c>
      <c r="CO161" s="135">
        <f t="shared" si="47"/>
        <v>-266</v>
      </c>
      <c r="CP161" s="135">
        <f t="shared" si="47"/>
        <v>-266</v>
      </c>
      <c r="CQ161" s="135">
        <f t="shared" si="47"/>
        <v>-266</v>
      </c>
      <c r="CR161" s="135">
        <f t="shared" si="47"/>
        <v>-266</v>
      </c>
      <c r="CS161" s="135">
        <f t="shared" si="47"/>
        <v>-266</v>
      </c>
      <c r="CT161" s="135">
        <f t="shared" si="47"/>
        <v>-266</v>
      </c>
      <c r="CU161" s="135">
        <f t="shared" si="47"/>
        <v>-266</v>
      </c>
      <c r="CV161" s="135">
        <f t="shared" si="47"/>
        <v>-266</v>
      </c>
      <c r="CW161" s="135">
        <f t="shared" si="47"/>
        <v>-266</v>
      </c>
      <c r="CX161" s="135">
        <f t="shared" si="47"/>
        <v>-266</v>
      </c>
      <c r="CY161" s="135">
        <f t="shared" si="47"/>
        <v>-266</v>
      </c>
      <c r="CZ161" s="135">
        <f t="shared" si="47"/>
        <v>-266</v>
      </c>
      <c r="DA161" s="135">
        <f t="shared" si="47"/>
        <v>-266</v>
      </c>
      <c r="DB161" s="135">
        <f t="shared" si="47"/>
        <v>-266</v>
      </c>
      <c r="DC161" s="135">
        <f t="shared" si="47"/>
        <v>-266</v>
      </c>
      <c r="DD161" s="135">
        <f t="shared" si="47"/>
        <v>-266</v>
      </c>
      <c r="DE161" s="135">
        <f t="shared" si="47"/>
        <v>-266</v>
      </c>
      <c r="DF161" s="135">
        <f t="shared" si="47"/>
        <v>-266</v>
      </c>
    </row>
    <row r="162" spans="1:110" ht="18" customHeight="1">
      <c r="A162" s="97" t="s">
        <v>444</v>
      </c>
      <c r="B162" s="413"/>
      <c r="C162" s="97" t="s">
        <v>93</v>
      </c>
      <c r="D162" s="160">
        <f>'Buffer input prices'!D39</f>
        <v>75</v>
      </c>
      <c r="E162" s="139">
        <f>'Farm and Buffer Assumptions'!D27</f>
        <v>0</v>
      </c>
      <c r="F162" s="215">
        <f>E162*D162</f>
        <v>0</v>
      </c>
      <c r="G162" s="152">
        <f>F162/(1+'Farm and Buffer Assumptions'!D20)^B162</f>
        <v>0</v>
      </c>
      <c r="H162" s="211"/>
      <c r="J162" t="s">
        <v>366</v>
      </c>
      <c r="K162" s="162"/>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row>
    <row r="163" spans="1:17" ht="18" customHeight="1">
      <c r="A163" s="97" t="s">
        <v>445</v>
      </c>
      <c r="B163" s="413"/>
      <c r="C163" s="97" t="s">
        <v>93</v>
      </c>
      <c r="D163" s="160">
        <f>'Buffer input prices'!D40</f>
        <v>95</v>
      </c>
      <c r="E163" s="139">
        <f>'Farm and Buffer Assumptions'!D28</f>
        <v>0</v>
      </c>
      <c r="F163" s="215">
        <f>E163*D163</f>
        <v>0</v>
      </c>
      <c r="G163" s="152">
        <f>F163/(1+'Farm and Buffer Assumptions'!D20)^B163</f>
        <v>0</v>
      </c>
      <c r="H163" s="211"/>
      <c r="J163" s="234" t="s">
        <v>446</v>
      </c>
      <c r="K163" s="193"/>
      <c r="L163" s="169"/>
      <c r="M163" s="168" t="s">
        <v>368</v>
      </c>
      <c r="N163" s="169"/>
      <c r="O163" s="169"/>
      <c r="P163" s="193"/>
      <c r="Q163" s="169"/>
    </row>
    <row r="164" spans="1:14" ht="18" customHeight="1">
      <c r="A164" s="97" t="s">
        <v>639</v>
      </c>
      <c r="B164" s="413" t="s">
        <v>638</v>
      </c>
      <c r="C164" s="97" t="s">
        <v>90</v>
      </c>
      <c r="D164" s="160">
        <f>'Buffer input prices'!D41</f>
        <v>25</v>
      </c>
      <c r="E164" s="151">
        <f>IF('Farm and Buffer Assumptions'!D26=1,'Buffer Harvest Sched'!B61+'Buffer Harvest Sched'!B62,0)</f>
        <v>0</v>
      </c>
      <c r="F164" s="434" t="s">
        <v>637</v>
      </c>
      <c r="G164" s="152">
        <f>'Buffer Harvest Sched'!B66</f>
        <v>0</v>
      </c>
      <c r="H164" s="211"/>
      <c r="J164" s="20" t="s">
        <v>466</v>
      </c>
      <c r="K164" s="235">
        <f>NPV('Farm and Buffer Assumptions'!D20,K161:AD161)</f>
        <v>-2220.6184038668744</v>
      </c>
      <c r="M164" s="176">
        <f>K143</f>
        <v>0</v>
      </c>
      <c r="N164" s="177" t="s">
        <v>332</v>
      </c>
    </row>
    <row r="165" spans="1:15" ht="18" customHeight="1">
      <c r="A165" s="97" t="s">
        <v>640</v>
      </c>
      <c r="B165" s="413" t="s">
        <v>638</v>
      </c>
      <c r="C165" s="97" t="s">
        <v>90</v>
      </c>
      <c r="D165" s="160">
        <f>'Buffer input prices'!D43</f>
        <v>5.74</v>
      </c>
      <c r="E165" s="435">
        <f>E164</f>
        <v>0</v>
      </c>
      <c r="F165" s="434" t="s">
        <v>637</v>
      </c>
      <c r="G165" s="152">
        <f>'Buffer Harvest Sched'!B67</f>
        <v>0</v>
      </c>
      <c r="H165" s="211"/>
      <c r="J165" s="20" t="s">
        <v>467</v>
      </c>
      <c r="K165" s="175">
        <f>NPV('Farm and Buffer Assumptions'!D20,K161:AN161)</f>
        <v>-3205.27245408222</v>
      </c>
      <c r="M165" s="178">
        <f>NPV('Farm and Buffer Assumptions'!D20,K144:P144)</f>
        <v>0</v>
      </c>
      <c r="N165" s="18" t="s">
        <v>349</v>
      </c>
      <c r="O165" s="1"/>
    </row>
    <row r="166" spans="1:25" ht="18" customHeight="1">
      <c r="A166" s="100" t="s">
        <v>447</v>
      </c>
      <c r="B166" s="97"/>
      <c r="C166" s="97"/>
      <c r="D166" s="160"/>
      <c r="E166" s="139"/>
      <c r="F166" s="175"/>
      <c r="G166" s="185">
        <f>SUM(G159:G165)</f>
        <v>0</v>
      </c>
      <c r="H166" s="211"/>
      <c r="J166" s="20" t="s">
        <v>468</v>
      </c>
      <c r="K166" s="175">
        <f>NPV('Farm and Buffer Assumptions'!D20,K161:AX161)</f>
        <v>-3870.4694490969073</v>
      </c>
      <c r="L166" s="1"/>
      <c r="M166" s="178">
        <f>NPV('Farm and Buffer Assumptions'!D20,K145:L145)</f>
        <v>0</v>
      </c>
      <c r="N166" s="177" t="s">
        <v>395</v>
      </c>
      <c r="P166" s="1"/>
      <c r="Q166" s="1"/>
      <c r="R166" s="1"/>
      <c r="S166" s="1"/>
      <c r="T166" s="1"/>
      <c r="U166" s="1"/>
      <c r="V166" s="1"/>
      <c r="W166" s="1"/>
      <c r="X166" s="1"/>
      <c r="Y166" s="1"/>
    </row>
    <row r="167" spans="1:25" ht="18" customHeight="1">
      <c r="A167" s="217"/>
      <c r="B167" s="172"/>
      <c r="C167" s="172"/>
      <c r="D167" s="218"/>
      <c r="E167" s="219"/>
      <c r="F167" s="221"/>
      <c r="G167" s="222"/>
      <c r="H167" s="211"/>
      <c r="J167" s="20"/>
      <c r="K167" s="175"/>
      <c r="L167" s="1"/>
      <c r="M167" s="178"/>
      <c r="N167" s="177"/>
      <c r="P167" s="1"/>
      <c r="Q167" s="1"/>
      <c r="R167" s="1"/>
      <c r="S167" s="1"/>
      <c r="T167" s="1"/>
      <c r="U167" s="1"/>
      <c r="V167" s="1"/>
      <c r="W167" s="1"/>
      <c r="X167" s="1"/>
      <c r="Y167" s="1"/>
    </row>
    <row r="168" spans="1:14" ht="18" customHeight="1">
      <c r="A168" s="154" t="s">
        <v>355</v>
      </c>
      <c r="B168" s="154"/>
      <c r="C168" s="154"/>
      <c r="D168" s="183"/>
      <c r="E168" s="184"/>
      <c r="F168" s="223"/>
      <c r="G168" s="224">
        <f>G156+G166</f>
        <v>0</v>
      </c>
      <c r="H168" s="225"/>
      <c r="J168" s="20" t="s">
        <v>469</v>
      </c>
      <c r="K168" s="175">
        <f>NPV('Farm and Buffer Assumptions'!D20,K161:BH161)</f>
        <v>-4319.852704139424</v>
      </c>
      <c r="M168" s="179">
        <f>NPV('Farm and Buffer Assumptions'!D20,K146:Y146)</f>
        <v>0</v>
      </c>
      <c r="N168" s="177" t="s">
        <v>336</v>
      </c>
    </row>
    <row r="169" spans="1:14" ht="21.75" customHeight="1">
      <c r="A169" s="217"/>
      <c r="B169" s="172"/>
      <c r="C169" s="172"/>
      <c r="D169" s="172"/>
      <c r="E169" s="219"/>
      <c r="F169" s="173"/>
      <c r="G169" s="220"/>
      <c r="H169" s="171"/>
      <c r="J169" s="20" t="s">
        <v>470</v>
      </c>
      <c r="K169" s="175">
        <f>NPV('Farm and Buffer Assumptions'!D20,K161:BR161)</f>
        <v>-4623.439929316452</v>
      </c>
      <c r="M169" s="178">
        <f>K147</f>
        <v>0</v>
      </c>
      <c r="N169" s="177" t="s">
        <v>338</v>
      </c>
    </row>
    <row r="170" spans="1:14" ht="24.75" customHeight="1">
      <c r="A170" s="437" t="s">
        <v>357</v>
      </c>
      <c r="B170" s="437"/>
      <c r="C170" s="437"/>
      <c r="D170" s="437"/>
      <c r="E170" s="438"/>
      <c r="F170" s="439"/>
      <c r="G170" s="439">
        <f>G150-G168</f>
        <v>0</v>
      </c>
      <c r="H170" s="440"/>
      <c r="J170" s="20" t="s">
        <v>471</v>
      </c>
      <c r="K170" s="175">
        <f>NPV('Farm and Buffer Assumptions'!D20,K161:CB161)</f>
        <v>-4828.532580759302</v>
      </c>
      <c r="M170" s="178">
        <f>NPV('Farm and Buffer Assumptions'!D20,K148:DF148)</f>
        <v>0</v>
      </c>
      <c r="N170" s="177" t="s">
        <v>426</v>
      </c>
    </row>
    <row r="171" spans="1:14" ht="37.5" customHeight="1">
      <c r="A171" s="936" t="s">
        <v>482</v>
      </c>
      <c r="B171" s="937"/>
      <c r="C171" s="937"/>
      <c r="D171" s="937"/>
      <c r="E171" s="937"/>
      <c r="F171" s="937"/>
      <c r="G171" s="937"/>
      <c r="H171" s="937"/>
      <c r="J171" s="20" t="s">
        <v>472</v>
      </c>
      <c r="K171" s="175">
        <f>NPV('Farm and Buffer Assumptions'!D20,K161:CL161)</f>
        <v>-4967.0858273635695</v>
      </c>
      <c r="M171" s="178">
        <f>NPV('Farm and Buffer Assumptions'!D20,K149:DF149)</f>
        <v>0</v>
      </c>
      <c r="N171" s="177" t="s">
        <v>428</v>
      </c>
    </row>
    <row r="172" spans="1:17" ht="30" customHeight="1">
      <c r="A172" s="939" t="s">
        <v>411</v>
      </c>
      <c r="B172" s="932"/>
      <c r="C172" s="932"/>
      <c r="D172" s="932"/>
      <c r="E172" s="932"/>
      <c r="F172" s="932"/>
      <c r="G172" s="932"/>
      <c r="H172" s="932"/>
      <c r="J172" s="20" t="s">
        <v>473</v>
      </c>
      <c r="K172" s="175">
        <f>NPV('Farm and Buffer Assumptions'!D20,K161:CV161)</f>
        <v>-5060.687436243899</v>
      </c>
      <c r="M172" s="236">
        <f>NPV('Farm and Buffer Assumptions'!D20,K150:DF150)</f>
        <v>0</v>
      </c>
      <c r="N172" s="237" t="s">
        <v>430</v>
      </c>
      <c r="O172" s="169"/>
      <c r="P172" s="169"/>
      <c r="Q172" s="169"/>
    </row>
    <row r="173" spans="1:14" ht="28.5" customHeight="1">
      <c r="A173" s="938" t="s">
        <v>361</v>
      </c>
      <c r="B173" s="932"/>
      <c r="C173" s="932"/>
      <c r="D173" s="932"/>
      <c r="E173" s="932"/>
      <c r="F173" s="932"/>
      <c r="G173" s="932"/>
      <c r="H173" s="932"/>
      <c r="J173" s="20" t="s">
        <v>474</v>
      </c>
      <c r="K173" s="175">
        <f>NPV('Farm and Buffer Assumptions'!D20,K161:DF161)</f>
        <v>-5123.921329347894</v>
      </c>
      <c r="M173" s="178">
        <f>NPV('Farm and Buffer Assumptions'!D20,K153:P153)</f>
        <v>0</v>
      </c>
      <c r="N173" t="s">
        <v>409</v>
      </c>
    </row>
    <row r="174" spans="1:14" ht="25.5" customHeight="1">
      <c r="A174" s="932" t="s">
        <v>420</v>
      </c>
      <c r="B174" s="932"/>
      <c r="C174" s="932"/>
      <c r="D174" s="932"/>
      <c r="E174" s="932"/>
      <c r="F174" s="932"/>
      <c r="G174" s="932"/>
      <c r="H174" s="932"/>
      <c r="M174" s="178">
        <f>NPV('Farm and Buffer Assumptions'!D20,K154:P154)</f>
        <v>0</v>
      </c>
      <c r="N174" t="s">
        <v>410</v>
      </c>
    </row>
    <row r="175" spans="1:16" ht="24" customHeight="1">
      <c r="A175" s="932" t="s">
        <v>477</v>
      </c>
      <c r="B175" s="932"/>
      <c r="C175" s="932"/>
      <c r="D175" s="932"/>
      <c r="E175" s="932"/>
      <c r="F175" s="932"/>
      <c r="G175" s="932"/>
      <c r="H175" s="932"/>
      <c r="M175" s="178">
        <f>NPV('Farm and Buffer Assumptions'!D20,K155:P155)</f>
        <v>0</v>
      </c>
      <c r="N175" s="18" t="s">
        <v>436</v>
      </c>
      <c r="P175" s="18"/>
    </row>
    <row r="176" spans="7:16" ht="28.5" customHeight="1" thickBot="1">
      <c r="G176" s="130"/>
      <c r="H176" s="1"/>
      <c r="M176" s="178">
        <f>NPV('Farm and Buffer Assumptions'!D20,K156:P156)</f>
        <v>0</v>
      </c>
      <c r="N176" s="18" t="s">
        <v>437</v>
      </c>
      <c r="P176" s="18"/>
    </row>
    <row r="177" spans="1:14" ht="35.25" customHeight="1" thickBot="1">
      <c r="A177" s="379" t="s">
        <v>448</v>
      </c>
      <c r="B177" s="380" t="s">
        <v>327</v>
      </c>
      <c r="C177" s="380" t="s">
        <v>83</v>
      </c>
      <c r="D177" s="381" t="s">
        <v>84</v>
      </c>
      <c r="E177" s="381" t="s">
        <v>85</v>
      </c>
      <c r="F177" s="381" t="s">
        <v>86</v>
      </c>
      <c r="G177" s="381" t="s">
        <v>328</v>
      </c>
      <c r="H177" s="380" t="s">
        <v>329</v>
      </c>
      <c r="I177" s="1"/>
      <c r="M177" s="178">
        <f>NPV('Farm and Buffer Assumptions'!D20,K157:P157)</f>
        <v>0</v>
      </c>
      <c r="N177" s="18" t="s">
        <v>438</v>
      </c>
    </row>
    <row r="178" spans="1:14" ht="36" customHeight="1">
      <c r="A178" s="385" t="s">
        <v>393</v>
      </c>
      <c r="B178" s="386"/>
      <c r="C178" s="386"/>
      <c r="D178" s="387"/>
      <c r="E178" s="387"/>
      <c r="F178" s="387"/>
      <c r="G178" s="387"/>
      <c r="H178" s="476"/>
      <c r="I178" s="1"/>
      <c r="M178" s="178">
        <f>NPV('Farm and Buffer Assumptions'!D20,K158:P158)</f>
        <v>0</v>
      </c>
      <c r="N178" s="18" t="s">
        <v>440</v>
      </c>
    </row>
    <row r="179" spans="1:14" ht="18" customHeight="1">
      <c r="A179" s="96" t="s">
        <v>332</v>
      </c>
      <c r="B179" s="96">
        <v>1</v>
      </c>
      <c r="C179" s="96" t="s">
        <v>93</v>
      </c>
      <c r="D179" s="96">
        <f>IF('Farm and Buffer Assumptions'!D75=1,F191*'Farm and Buffer Assumptions'!D38,0)</f>
        <v>0</v>
      </c>
      <c r="E179" s="121">
        <v>1</v>
      </c>
      <c r="F179" s="120">
        <f>E179*D179</f>
        <v>0</v>
      </c>
      <c r="G179" s="189">
        <f>F179</f>
        <v>0</v>
      </c>
      <c r="H179" s="211"/>
      <c r="I179" s="1"/>
      <c r="M179" s="178">
        <f>NPV('Farm and Buffer Assumptions'!D20,K159:P159)</f>
        <v>0</v>
      </c>
      <c r="N179" s="18" t="s">
        <v>441</v>
      </c>
    </row>
    <row r="180" spans="1:14" ht="44.25" customHeight="1">
      <c r="A180" s="96" t="s">
        <v>334</v>
      </c>
      <c r="B180" s="96">
        <f>'Farm and Buffer Assumptions'!D41</f>
        <v>5</v>
      </c>
      <c r="C180" s="96" t="s">
        <v>93</v>
      </c>
      <c r="D180" s="96">
        <f>IF('Farm and Buffer Assumptions'!D76=1,F198*'Farm and Buffer Assumptions'!D39,0)</f>
        <v>0</v>
      </c>
      <c r="E180" s="121">
        <v>1</v>
      </c>
      <c r="F180" s="120">
        <f>E180*D180</f>
        <v>0</v>
      </c>
      <c r="G180" s="189">
        <f>PV('Farm and Buffer Assumptions'!D20,B180,-F180)</f>
        <v>0</v>
      </c>
      <c r="H180" s="211"/>
      <c r="I180" s="1"/>
      <c r="M180" s="178">
        <f>NPV('Farm and Buffer Assumptions'!D20,K160:P160)</f>
        <v>0</v>
      </c>
      <c r="N180" s="18" t="s">
        <v>442</v>
      </c>
    </row>
    <row r="181" spans="1:14" ht="18" customHeight="1">
      <c r="A181" s="96" t="s">
        <v>336</v>
      </c>
      <c r="B181" s="96">
        <f>'Farm and Buffer Assumptions'!D35</f>
        <v>15</v>
      </c>
      <c r="C181" s="96" t="s">
        <v>93</v>
      </c>
      <c r="D181" s="96">
        <f>IF('Farm and Buffer Assumptions'!D73=1,'Buffer input prices'!D21*'Farm and Buffer Assumptions'!D36,0)</f>
        <v>0</v>
      </c>
      <c r="E181" s="121">
        <v>1</v>
      </c>
      <c r="F181" s="120">
        <f>E181*D181</f>
        <v>0</v>
      </c>
      <c r="G181" s="189">
        <f>-PV('Farm and Buffer Assumptions'!D20,B181,F181)</f>
        <v>0</v>
      </c>
      <c r="H181" s="211"/>
      <c r="I181" s="1"/>
      <c r="M181" s="186">
        <f>SUM(M164:M172)-SUM(M173:M180)</f>
        <v>0</v>
      </c>
      <c r="N181" t="s">
        <v>358</v>
      </c>
    </row>
    <row r="182" spans="1:9" ht="18" customHeight="1">
      <c r="A182" s="96" t="s">
        <v>338</v>
      </c>
      <c r="B182" s="96">
        <v>1</v>
      </c>
      <c r="C182" s="96" t="s">
        <v>93</v>
      </c>
      <c r="D182" s="96">
        <f>IF('Farm and Buffer Assumptions'!D74=1,'Farm and Buffer Assumptions'!D37,0)</f>
        <v>0</v>
      </c>
      <c r="E182" s="121">
        <v>1</v>
      </c>
      <c r="F182" s="120">
        <f>E182*D182</f>
        <v>0</v>
      </c>
      <c r="G182" s="189">
        <f>F182</f>
        <v>0</v>
      </c>
      <c r="H182" s="211"/>
      <c r="I182" s="1"/>
    </row>
    <row r="183" spans="1:14" ht="18" customHeight="1">
      <c r="A183" s="96" t="s">
        <v>449</v>
      </c>
      <c r="B183" s="96">
        <v>99</v>
      </c>
      <c r="C183" s="96" t="s">
        <v>90</v>
      </c>
      <c r="D183" s="121">
        <f>'Buffer input prices'!D27</f>
        <v>28.5</v>
      </c>
      <c r="E183" s="121">
        <f>'Farm and Buffer Assumptions'!D22</f>
        <v>13</v>
      </c>
      <c r="F183" s="120">
        <f>E183*D183</f>
        <v>370.5</v>
      </c>
      <c r="G183" s="192">
        <f>F183/'Farm and Buffer Assumptions'!D20</f>
        <v>9262.5</v>
      </c>
      <c r="H183" s="211"/>
      <c r="I183" s="1"/>
      <c r="M183" s="1"/>
      <c r="N183" s="1"/>
    </row>
    <row r="184" spans="1:9" ht="18" customHeight="1">
      <c r="A184" s="194" t="s">
        <v>375</v>
      </c>
      <c r="B184" s="194"/>
      <c r="C184" s="195"/>
      <c r="D184" s="195"/>
      <c r="E184" s="195"/>
      <c r="F184" s="196">
        <f>SUM(F179:F183)</f>
        <v>370.5</v>
      </c>
      <c r="G184" s="197">
        <f>SUM(G179:G183)</f>
        <v>9262.5</v>
      </c>
      <c r="H184" s="209"/>
      <c r="I184" s="1"/>
    </row>
    <row r="185" spans="1:9" ht="18" customHeight="1">
      <c r="A185" s="1"/>
      <c r="B185" s="1"/>
      <c r="C185" s="1"/>
      <c r="D185" s="1"/>
      <c r="E185" s="1"/>
      <c r="F185" s="2"/>
      <c r="G185" s="198"/>
      <c r="H185" s="211"/>
      <c r="I185" s="1"/>
    </row>
    <row r="186" spans="1:9" ht="18.75" customHeight="1">
      <c r="A186" s="382" t="s">
        <v>377</v>
      </c>
      <c r="B186" s="382"/>
      <c r="C186" s="383"/>
      <c r="D186" s="383"/>
      <c r="E186" s="383"/>
      <c r="F186" s="384"/>
      <c r="G186" s="384"/>
      <c r="H186" s="406"/>
      <c r="I186" s="1"/>
    </row>
    <row r="187" spans="1:9" ht="18.75" customHeight="1">
      <c r="A187" s="96" t="s">
        <v>364</v>
      </c>
      <c r="B187" s="96">
        <v>1</v>
      </c>
      <c r="C187" s="96" t="s">
        <v>93</v>
      </c>
      <c r="D187" s="191">
        <f>'Buffer input prices'!D35</f>
        <v>850</v>
      </c>
      <c r="E187" s="121">
        <v>1</v>
      </c>
      <c r="F187" s="120">
        <f>E187*D187</f>
        <v>850</v>
      </c>
      <c r="G187" s="192">
        <f>F187</f>
        <v>850</v>
      </c>
      <c r="H187" s="211" t="s">
        <v>365</v>
      </c>
      <c r="I187" s="1"/>
    </row>
    <row r="188" spans="1:9" ht="26.25" customHeight="1">
      <c r="A188" s="96" t="s">
        <v>378</v>
      </c>
      <c r="B188" s="96"/>
      <c r="C188" s="96" t="s">
        <v>93</v>
      </c>
      <c r="D188" s="390">
        <f>'Buffer input prices'!D31</f>
        <v>30</v>
      </c>
      <c r="E188" s="121">
        <v>1</v>
      </c>
      <c r="F188" s="120">
        <f>E188*D188</f>
        <v>30</v>
      </c>
      <c r="G188" s="192">
        <f>F188</f>
        <v>30</v>
      </c>
      <c r="H188" s="211"/>
      <c r="I188" s="1"/>
    </row>
    <row r="189" spans="1:9" ht="18.75" customHeight="1">
      <c r="A189" s="96" t="s">
        <v>234</v>
      </c>
      <c r="B189" s="96"/>
      <c r="C189" s="96" t="s">
        <v>93</v>
      </c>
      <c r="D189" s="191">
        <f>'Buffer input prices'!D29</f>
        <v>39</v>
      </c>
      <c r="E189" s="121">
        <v>1</v>
      </c>
      <c r="F189" s="120">
        <f>E189*D189</f>
        <v>39</v>
      </c>
      <c r="G189" s="192">
        <f>F189</f>
        <v>39</v>
      </c>
      <c r="H189" s="211"/>
      <c r="I189" s="1"/>
    </row>
    <row r="190" spans="1:11" ht="18" customHeight="1">
      <c r="A190" s="170" t="s">
        <v>379</v>
      </c>
      <c r="B190" s="96"/>
      <c r="C190" s="96" t="s">
        <v>93</v>
      </c>
      <c r="D190" s="458">
        <v>190</v>
      </c>
      <c r="E190" s="121">
        <v>1</v>
      </c>
      <c r="F190" s="120">
        <f>E190*D190</f>
        <v>190</v>
      </c>
      <c r="G190" s="192">
        <f>F190</f>
        <v>190</v>
      </c>
      <c r="H190" s="211" t="s">
        <v>450</v>
      </c>
      <c r="I190" s="1"/>
      <c r="K190" t="s">
        <v>325</v>
      </c>
    </row>
    <row r="191" spans="1:110" ht="18" customHeight="1">
      <c r="A191" s="163" t="s">
        <v>346</v>
      </c>
      <c r="B191" s="164"/>
      <c r="C191" s="164"/>
      <c r="D191" s="199"/>
      <c r="E191" s="164"/>
      <c r="F191" s="199">
        <f>SUM(F187:F190)</f>
        <v>1109</v>
      </c>
      <c r="G191" s="200">
        <f>SUM(G187:G190)</f>
        <v>1109</v>
      </c>
      <c r="H191" s="209"/>
      <c r="I191" s="1"/>
      <c r="J191" s="150" t="s">
        <v>330</v>
      </c>
      <c r="K191" s="97">
        <v>1</v>
      </c>
      <c r="L191" s="97">
        <v>2</v>
      </c>
      <c r="M191" s="97">
        <v>3</v>
      </c>
      <c r="N191" s="97">
        <v>4</v>
      </c>
      <c r="O191" s="97">
        <v>5</v>
      </c>
      <c r="P191" s="97">
        <v>6</v>
      </c>
      <c r="Q191" s="97">
        <v>7</v>
      </c>
      <c r="R191" s="97">
        <v>8</v>
      </c>
      <c r="S191" s="97">
        <v>9</v>
      </c>
      <c r="T191" s="97">
        <v>10</v>
      </c>
      <c r="U191" s="97">
        <v>11</v>
      </c>
      <c r="V191" s="97">
        <v>12</v>
      </c>
      <c r="W191" s="97">
        <v>13</v>
      </c>
      <c r="X191" s="97">
        <v>14</v>
      </c>
      <c r="Y191" s="97">
        <v>15</v>
      </c>
      <c r="Z191" s="95">
        <v>16</v>
      </c>
      <c r="AA191" s="95">
        <v>17</v>
      </c>
      <c r="AB191" s="95">
        <v>18</v>
      </c>
      <c r="AC191" s="95">
        <v>19</v>
      </c>
      <c r="AD191" s="95">
        <v>20</v>
      </c>
      <c r="AE191" s="95">
        <v>21</v>
      </c>
      <c r="AF191" s="95">
        <v>22</v>
      </c>
      <c r="AG191" s="95">
        <v>23</v>
      </c>
      <c r="AH191" s="95">
        <v>24</v>
      </c>
      <c r="AI191" s="95">
        <v>25</v>
      </c>
      <c r="AJ191" s="95">
        <v>26</v>
      </c>
      <c r="AK191" s="95">
        <v>27</v>
      </c>
      <c r="AL191" s="95">
        <v>28</v>
      </c>
      <c r="AM191" s="95">
        <v>29</v>
      </c>
      <c r="AN191" s="95">
        <v>30</v>
      </c>
      <c r="AO191" s="95">
        <v>31</v>
      </c>
      <c r="AP191" s="95">
        <v>32</v>
      </c>
      <c r="AQ191" s="95">
        <v>33</v>
      </c>
      <c r="AR191" s="95">
        <v>34</v>
      </c>
      <c r="AS191" s="95">
        <v>35</v>
      </c>
      <c r="AT191" s="95">
        <v>36</v>
      </c>
      <c r="AU191" s="95">
        <v>37</v>
      </c>
      <c r="AV191" s="95">
        <v>38</v>
      </c>
      <c r="AW191" s="95">
        <v>39</v>
      </c>
      <c r="AX191" s="95">
        <v>40</v>
      </c>
      <c r="AY191" s="95">
        <v>41</v>
      </c>
      <c r="AZ191" s="95">
        <v>42</v>
      </c>
      <c r="BA191" s="95">
        <v>43</v>
      </c>
      <c r="BB191" s="95">
        <v>44</v>
      </c>
      <c r="BC191" s="95">
        <v>45</v>
      </c>
      <c r="BD191" s="95">
        <v>46</v>
      </c>
      <c r="BE191" s="95">
        <v>47</v>
      </c>
      <c r="BF191" s="95">
        <v>48</v>
      </c>
      <c r="BG191" s="95">
        <v>49</v>
      </c>
      <c r="BH191" s="95">
        <v>50</v>
      </c>
      <c r="BI191" s="95">
        <v>51</v>
      </c>
      <c r="BJ191" s="95">
        <v>52</v>
      </c>
      <c r="BK191" s="95">
        <v>53</v>
      </c>
      <c r="BL191" s="95">
        <v>54</v>
      </c>
      <c r="BM191" s="95">
        <v>55</v>
      </c>
      <c r="BN191" s="95">
        <v>56</v>
      </c>
      <c r="BO191" s="95">
        <v>57</v>
      </c>
      <c r="BP191" s="95">
        <v>58</v>
      </c>
      <c r="BQ191" s="95">
        <v>59</v>
      </c>
      <c r="BR191" s="95">
        <v>60</v>
      </c>
      <c r="BS191" s="95">
        <v>61</v>
      </c>
      <c r="BT191" s="95">
        <v>62</v>
      </c>
      <c r="BU191" s="95">
        <v>63</v>
      </c>
      <c r="BV191" s="95">
        <v>64</v>
      </c>
      <c r="BW191" s="95">
        <v>65</v>
      </c>
      <c r="BX191" s="95">
        <v>66</v>
      </c>
      <c r="BY191" s="95">
        <v>67</v>
      </c>
      <c r="BZ191" s="95">
        <v>68</v>
      </c>
      <c r="CA191" s="95">
        <v>69</v>
      </c>
      <c r="CB191" s="95">
        <v>70</v>
      </c>
      <c r="CC191" s="95">
        <v>71</v>
      </c>
      <c r="CD191" s="95">
        <v>72</v>
      </c>
      <c r="CE191" s="95">
        <v>73</v>
      </c>
      <c r="CF191" s="95">
        <v>74</v>
      </c>
      <c r="CG191" s="95">
        <v>75</v>
      </c>
      <c r="CH191" s="95">
        <v>76</v>
      </c>
      <c r="CI191" s="95">
        <v>77</v>
      </c>
      <c r="CJ191" s="95">
        <v>78</v>
      </c>
      <c r="CK191" s="95">
        <v>79</v>
      </c>
      <c r="CL191" s="95">
        <v>80</v>
      </c>
      <c r="CM191" s="95">
        <v>81</v>
      </c>
      <c r="CN191" s="95">
        <v>82</v>
      </c>
      <c r="CO191" s="95">
        <v>83</v>
      </c>
      <c r="CP191" s="95">
        <v>84</v>
      </c>
      <c r="CQ191" s="95">
        <v>85</v>
      </c>
      <c r="CR191" s="95">
        <v>86</v>
      </c>
      <c r="CS191" s="95">
        <v>87</v>
      </c>
      <c r="CT191" s="95">
        <v>88</v>
      </c>
      <c r="CU191" s="95">
        <v>89</v>
      </c>
      <c r="CV191" s="95">
        <v>90</v>
      </c>
      <c r="CW191" s="95">
        <v>91</v>
      </c>
      <c r="CX191" s="95">
        <v>92</v>
      </c>
      <c r="CY191" s="95">
        <v>93</v>
      </c>
      <c r="CZ191" s="95">
        <v>94</v>
      </c>
      <c r="DA191" s="95">
        <v>95</v>
      </c>
      <c r="DB191" s="95">
        <v>96</v>
      </c>
      <c r="DC191" s="95">
        <v>97</v>
      </c>
      <c r="DD191" s="95">
        <v>98</v>
      </c>
      <c r="DE191" s="95">
        <v>99</v>
      </c>
      <c r="DF191" s="95">
        <v>100</v>
      </c>
    </row>
    <row r="192" spans="1:110" ht="18" customHeight="1">
      <c r="A192" s="170"/>
      <c r="B192" s="171"/>
      <c r="C192" s="171"/>
      <c r="D192" s="171"/>
      <c r="E192" s="171"/>
      <c r="F192" s="201"/>
      <c r="G192" s="202"/>
      <c r="H192" s="211"/>
      <c r="I192" s="1"/>
      <c r="J192" s="96" t="s">
        <v>331</v>
      </c>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96"/>
      <c r="CB192" s="96"/>
      <c r="CC192" s="96"/>
      <c r="CD192" s="96"/>
      <c r="CE192" s="96"/>
      <c r="CF192" s="96"/>
      <c r="CG192" s="96"/>
      <c r="CH192" s="96"/>
      <c r="CI192" s="96"/>
      <c r="CJ192" s="96"/>
      <c r="CK192" s="96"/>
      <c r="CL192" s="96"/>
      <c r="CM192" s="96"/>
      <c r="CN192" s="96"/>
      <c r="CO192" s="96"/>
      <c r="CP192" s="96"/>
      <c r="CQ192" s="96"/>
      <c r="CR192" s="96"/>
      <c r="CS192" s="96"/>
      <c r="CT192" s="96"/>
      <c r="CU192" s="96"/>
      <c r="CV192" s="96"/>
      <c r="CW192" s="96"/>
      <c r="CX192" s="96"/>
      <c r="CY192" s="96"/>
      <c r="CZ192" s="96"/>
      <c r="DA192" s="96"/>
      <c r="DB192" s="96"/>
      <c r="DC192" s="96"/>
      <c r="DD192" s="96"/>
      <c r="DE192" s="96"/>
      <c r="DF192" s="96"/>
    </row>
    <row r="193" spans="1:110" ht="27" customHeight="1">
      <c r="A193" s="382" t="s">
        <v>382</v>
      </c>
      <c r="B193" s="382"/>
      <c r="C193" s="383"/>
      <c r="D193" s="383"/>
      <c r="E193" s="383"/>
      <c r="F193" s="384"/>
      <c r="G193" s="384"/>
      <c r="H193" s="406"/>
      <c r="I193" s="1"/>
      <c r="J193" s="96" t="s">
        <v>333</v>
      </c>
      <c r="K193" s="120">
        <f>F179</f>
        <v>0</v>
      </c>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96"/>
      <c r="CZ193" s="96"/>
      <c r="DA193" s="96"/>
      <c r="DB193" s="96"/>
      <c r="DC193" s="96"/>
      <c r="DD193" s="96"/>
      <c r="DE193" s="96"/>
      <c r="DF193" s="96"/>
    </row>
    <row r="194" spans="1:110" ht="28.5" customHeight="1">
      <c r="A194" s="96" t="s">
        <v>379</v>
      </c>
      <c r="B194" s="96">
        <v>99</v>
      </c>
      <c r="C194" s="96" t="s">
        <v>93</v>
      </c>
      <c r="D194" s="390">
        <f>'Farm and Buffer Assumptions'!D24*'Buffer input prices'!D30</f>
        <v>16</v>
      </c>
      <c r="E194" s="121">
        <v>1</v>
      </c>
      <c r="F194" s="120">
        <f>D194*E194</f>
        <v>16</v>
      </c>
      <c r="G194" s="192">
        <f>F194/'Farm and Buffer Assumptions'!D20</f>
        <v>400</v>
      </c>
      <c r="H194" s="211" t="s">
        <v>451</v>
      </c>
      <c r="I194" s="1"/>
      <c r="J194" s="96" t="s">
        <v>335</v>
      </c>
      <c r="K194" s="96">
        <v>0</v>
      </c>
      <c r="L194" s="120">
        <f aca="true" t="shared" si="48" ref="L194:BW194">IF(L191=($B$180+1),$F$180,IF(L191&lt;=$B$180,$F$180,0))</f>
        <v>0</v>
      </c>
      <c r="M194" s="120">
        <f t="shared" si="48"/>
        <v>0</v>
      </c>
      <c r="N194" s="120">
        <f t="shared" si="48"/>
        <v>0</v>
      </c>
      <c r="O194" s="120">
        <f t="shared" si="48"/>
        <v>0</v>
      </c>
      <c r="P194" s="120">
        <f t="shared" si="48"/>
        <v>0</v>
      </c>
      <c r="Q194" s="120">
        <f t="shared" si="48"/>
        <v>0</v>
      </c>
      <c r="R194" s="120">
        <f t="shared" si="48"/>
        <v>0</v>
      </c>
      <c r="S194" s="120">
        <f t="shared" si="48"/>
        <v>0</v>
      </c>
      <c r="T194" s="120">
        <f t="shared" si="48"/>
        <v>0</v>
      </c>
      <c r="U194" s="120">
        <f t="shared" si="48"/>
        <v>0</v>
      </c>
      <c r="V194" s="120">
        <f t="shared" si="48"/>
        <v>0</v>
      </c>
      <c r="W194" s="120">
        <f t="shared" si="48"/>
        <v>0</v>
      </c>
      <c r="X194" s="120">
        <f t="shared" si="48"/>
        <v>0</v>
      </c>
      <c r="Y194" s="120">
        <f t="shared" si="48"/>
        <v>0</v>
      </c>
      <c r="Z194" s="120">
        <f t="shared" si="48"/>
        <v>0</v>
      </c>
      <c r="AA194" s="120">
        <f t="shared" si="48"/>
        <v>0</v>
      </c>
      <c r="AB194" s="120">
        <f t="shared" si="48"/>
        <v>0</v>
      </c>
      <c r="AC194" s="120">
        <f t="shared" si="48"/>
        <v>0</v>
      </c>
      <c r="AD194" s="120">
        <f t="shared" si="48"/>
        <v>0</v>
      </c>
      <c r="AE194" s="120">
        <f t="shared" si="48"/>
        <v>0</v>
      </c>
      <c r="AF194" s="120">
        <f t="shared" si="48"/>
        <v>0</v>
      </c>
      <c r="AG194" s="120">
        <f t="shared" si="48"/>
        <v>0</v>
      </c>
      <c r="AH194" s="120">
        <f t="shared" si="48"/>
        <v>0</v>
      </c>
      <c r="AI194" s="120">
        <f t="shared" si="48"/>
        <v>0</v>
      </c>
      <c r="AJ194" s="120">
        <f t="shared" si="48"/>
        <v>0</v>
      </c>
      <c r="AK194" s="120">
        <f t="shared" si="48"/>
        <v>0</v>
      </c>
      <c r="AL194" s="120">
        <f t="shared" si="48"/>
        <v>0</v>
      </c>
      <c r="AM194" s="120">
        <f t="shared" si="48"/>
        <v>0</v>
      </c>
      <c r="AN194" s="120">
        <f t="shared" si="48"/>
        <v>0</v>
      </c>
      <c r="AO194" s="120">
        <f t="shared" si="48"/>
        <v>0</v>
      </c>
      <c r="AP194" s="120">
        <f t="shared" si="48"/>
        <v>0</v>
      </c>
      <c r="AQ194" s="120">
        <f t="shared" si="48"/>
        <v>0</v>
      </c>
      <c r="AR194" s="120">
        <f t="shared" si="48"/>
        <v>0</v>
      </c>
      <c r="AS194" s="120">
        <f t="shared" si="48"/>
        <v>0</v>
      </c>
      <c r="AT194" s="120">
        <f t="shared" si="48"/>
        <v>0</v>
      </c>
      <c r="AU194" s="120">
        <f t="shared" si="48"/>
        <v>0</v>
      </c>
      <c r="AV194" s="120">
        <f t="shared" si="48"/>
        <v>0</v>
      </c>
      <c r="AW194" s="120">
        <f t="shared" si="48"/>
        <v>0</v>
      </c>
      <c r="AX194" s="120">
        <f t="shared" si="48"/>
        <v>0</v>
      </c>
      <c r="AY194" s="120">
        <f t="shared" si="48"/>
        <v>0</v>
      </c>
      <c r="AZ194" s="120">
        <f t="shared" si="48"/>
        <v>0</v>
      </c>
      <c r="BA194" s="120">
        <f t="shared" si="48"/>
        <v>0</v>
      </c>
      <c r="BB194" s="120">
        <f t="shared" si="48"/>
        <v>0</v>
      </c>
      <c r="BC194" s="120">
        <f t="shared" si="48"/>
        <v>0</v>
      </c>
      <c r="BD194" s="120">
        <f t="shared" si="48"/>
        <v>0</v>
      </c>
      <c r="BE194" s="120">
        <f t="shared" si="48"/>
        <v>0</v>
      </c>
      <c r="BF194" s="120">
        <f t="shared" si="48"/>
        <v>0</v>
      </c>
      <c r="BG194" s="120">
        <f t="shared" si="48"/>
        <v>0</v>
      </c>
      <c r="BH194" s="120">
        <f t="shared" si="48"/>
        <v>0</v>
      </c>
      <c r="BI194" s="120">
        <f t="shared" si="48"/>
        <v>0</v>
      </c>
      <c r="BJ194" s="120">
        <f t="shared" si="48"/>
        <v>0</v>
      </c>
      <c r="BK194" s="120">
        <f t="shared" si="48"/>
        <v>0</v>
      </c>
      <c r="BL194" s="120">
        <f t="shared" si="48"/>
        <v>0</v>
      </c>
      <c r="BM194" s="120">
        <f t="shared" si="48"/>
        <v>0</v>
      </c>
      <c r="BN194" s="120">
        <f t="shared" si="48"/>
        <v>0</v>
      </c>
      <c r="BO194" s="120">
        <f t="shared" si="48"/>
        <v>0</v>
      </c>
      <c r="BP194" s="120">
        <f t="shared" si="48"/>
        <v>0</v>
      </c>
      <c r="BQ194" s="120">
        <f t="shared" si="48"/>
        <v>0</v>
      </c>
      <c r="BR194" s="120">
        <f t="shared" si="48"/>
        <v>0</v>
      </c>
      <c r="BS194" s="120">
        <f t="shared" si="48"/>
        <v>0</v>
      </c>
      <c r="BT194" s="120">
        <f t="shared" si="48"/>
        <v>0</v>
      </c>
      <c r="BU194" s="120">
        <f t="shared" si="48"/>
        <v>0</v>
      </c>
      <c r="BV194" s="120">
        <f t="shared" si="48"/>
        <v>0</v>
      </c>
      <c r="BW194" s="120">
        <f t="shared" si="48"/>
        <v>0</v>
      </c>
      <c r="BX194" s="120">
        <f aca="true" t="shared" si="49" ref="BX194:DF194">IF(BX191=($B$180+1),$F$180,IF(BX191&lt;=$B$180,$F$180,0))</f>
        <v>0</v>
      </c>
      <c r="BY194" s="120">
        <f t="shared" si="49"/>
        <v>0</v>
      </c>
      <c r="BZ194" s="120">
        <f t="shared" si="49"/>
        <v>0</v>
      </c>
      <c r="CA194" s="120">
        <f t="shared" si="49"/>
        <v>0</v>
      </c>
      <c r="CB194" s="120">
        <f t="shared" si="49"/>
        <v>0</v>
      </c>
      <c r="CC194" s="120">
        <f t="shared" si="49"/>
        <v>0</v>
      </c>
      <c r="CD194" s="120">
        <f t="shared" si="49"/>
        <v>0</v>
      </c>
      <c r="CE194" s="120">
        <f t="shared" si="49"/>
        <v>0</v>
      </c>
      <c r="CF194" s="120">
        <f t="shared" si="49"/>
        <v>0</v>
      </c>
      <c r="CG194" s="120">
        <f t="shared" si="49"/>
        <v>0</v>
      </c>
      <c r="CH194" s="120">
        <f t="shared" si="49"/>
        <v>0</v>
      </c>
      <c r="CI194" s="120">
        <f t="shared" si="49"/>
        <v>0</v>
      </c>
      <c r="CJ194" s="120">
        <f t="shared" si="49"/>
        <v>0</v>
      </c>
      <c r="CK194" s="120">
        <f t="shared" si="49"/>
        <v>0</v>
      </c>
      <c r="CL194" s="120">
        <f t="shared" si="49"/>
        <v>0</v>
      </c>
      <c r="CM194" s="120">
        <f t="shared" si="49"/>
        <v>0</v>
      </c>
      <c r="CN194" s="120">
        <f t="shared" si="49"/>
        <v>0</v>
      </c>
      <c r="CO194" s="120">
        <f t="shared" si="49"/>
        <v>0</v>
      </c>
      <c r="CP194" s="120">
        <f t="shared" si="49"/>
        <v>0</v>
      </c>
      <c r="CQ194" s="120">
        <f t="shared" si="49"/>
        <v>0</v>
      </c>
      <c r="CR194" s="120">
        <f t="shared" si="49"/>
        <v>0</v>
      </c>
      <c r="CS194" s="120">
        <f t="shared" si="49"/>
        <v>0</v>
      </c>
      <c r="CT194" s="120">
        <f t="shared" si="49"/>
        <v>0</v>
      </c>
      <c r="CU194" s="120">
        <f t="shared" si="49"/>
        <v>0</v>
      </c>
      <c r="CV194" s="120">
        <f t="shared" si="49"/>
        <v>0</v>
      </c>
      <c r="CW194" s="120">
        <f t="shared" si="49"/>
        <v>0</v>
      </c>
      <c r="CX194" s="120">
        <f t="shared" si="49"/>
        <v>0</v>
      </c>
      <c r="CY194" s="120">
        <f t="shared" si="49"/>
        <v>0</v>
      </c>
      <c r="CZ194" s="120">
        <f t="shared" si="49"/>
        <v>0</v>
      </c>
      <c r="DA194" s="120">
        <f t="shared" si="49"/>
        <v>0</v>
      </c>
      <c r="DB194" s="120">
        <f t="shared" si="49"/>
        <v>0</v>
      </c>
      <c r="DC194" s="120">
        <f t="shared" si="49"/>
        <v>0</v>
      </c>
      <c r="DD194" s="120">
        <f t="shared" si="49"/>
        <v>0</v>
      </c>
      <c r="DE194" s="120">
        <f t="shared" si="49"/>
        <v>0</v>
      </c>
      <c r="DF194" s="120">
        <f t="shared" si="49"/>
        <v>0</v>
      </c>
    </row>
    <row r="195" spans="1:110" ht="30" customHeight="1">
      <c r="A195" s="96" t="s">
        <v>385</v>
      </c>
      <c r="B195" s="96">
        <v>99</v>
      </c>
      <c r="C195" s="96" t="s">
        <v>93</v>
      </c>
      <c r="D195" s="191">
        <f>'Buffer input prices'!D42</f>
        <v>170</v>
      </c>
      <c r="E195" s="121">
        <v>1</v>
      </c>
      <c r="F195" s="120">
        <f>E195*D195</f>
        <v>170</v>
      </c>
      <c r="G195" s="192">
        <f>F195/'Farm and Buffer Assumptions'!$D$20</f>
        <v>4250</v>
      </c>
      <c r="H195" s="211" t="s">
        <v>453</v>
      </c>
      <c r="I195" s="1"/>
      <c r="J195" s="96" t="s">
        <v>337</v>
      </c>
      <c r="K195" s="120">
        <f aca="true" t="shared" si="50" ref="K195:BV195">IF(K191&lt;=$B$181,$F$181,0)</f>
        <v>0</v>
      </c>
      <c r="L195" s="120">
        <f t="shared" si="50"/>
        <v>0</v>
      </c>
      <c r="M195" s="120">
        <f t="shared" si="50"/>
        <v>0</v>
      </c>
      <c r="N195" s="120">
        <f t="shared" si="50"/>
        <v>0</v>
      </c>
      <c r="O195" s="120">
        <f t="shared" si="50"/>
        <v>0</v>
      </c>
      <c r="P195" s="120">
        <f t="shared" si="50"/>
        <v>0</v>
      </c>
      <c r="Q195" s="120">
        <f t="shared" si="50"/>
        <v>0</v>
      </c>
      <c r="R195" s="120">
        <f t="shared" si="50"/>
        <v>0</v>
      </c>
      <c r="S195" s="120">
        <f t="shared" si="50"/>
        <v>0</v>
      </c>
      <c r="T195" s="120">
        <f t="shared" si="50"/>
        <v>0</v>
      </c>
      <c r="U195" s="120">
        <f t="shared" si="50"/>
        <v>0</v>
      </c>
      <c r="V195" s="120">
        <f t="shared" si="50"/>
        <v>0</v>
      </c>
      <c r="W195" s="120">
        <f t="shared" si="50"/>
        <v>0</v>
      </c>
      <c r="X195" s="120">
        <f t="shared" si="50"/>
        <v>0</v>
      </c>
      <c r="Y195" s="120">
        <f t="shared" si="50"/>
        <v>0</v>
      </c>
      <c r="Z195" s="120">
        <f t="shared" si="50"/>
        <v>0</v>
      </c>
      <c r="AA195" s="120">
        <f t="shared" si="50"/>
        <v>0</v>
      </c>
      <c r="AB195" s="120">
        <f t="shared" si="50"/>
        <v>0</v>
      </c>
      <c r="AC195" s="120">
        <f t="shared" si="50"/>
        <v>0</v>
      </c>
      <c r="AD195" s="120">
        <f t="shared" si="50"/>
        <v>0</v>
      </c>
      <c r="AE195" s="120">
        <f t="shared" si="50"/>
        <v>0</v>
      </c>
      <c r="AF195" s="120">
        <f t="shared" si="50"/>
        <v>0</v>
      </c>
      <c r="AG195" s="120">
        <f t="shared" si="50"/>
        <v>0</v>
      </c>
      <c r="AH195" s="120">
        <f t="shared" si="50"/>
        <v>0</v>
      </c>
      <c r="AI195" s="120">
        <f t="shared" si="50"/>
        <v>0</v>
      </c>
      <c r="AJ195" s="120">
        <f t="shared" si="50"/>
        <v>0</v>
      </c>
      <c r="AK195" s="120">
        <f t="shared" si="50"/>
        <v>0</v>
      </c>
      <c r="AL195" s="120">
        <f t="shared" si="50"/>
        <v>0</v>
      </c>
      <c r="AM195" s="120">
        <f t="shared" si="50"/>
        <v>0</v>
      </c>
      <c r="AN195" s="120">
        <f t="shared" si="50"/>
        <v>0</v>
      </c>
      <c r="AO195" s="120">
        <f t="shared" si="50"/>
        <v>0</v>
      </c>
      <c r="AP195" s="120">
        <f t="shared" si="50"/>
        <v>0</v>
      </c>
      <c r="AQ195" s="120">
        <f t="shared" si="50"/>
        <v>0</v>
      </c>
      <c r="AR195" s="120">
        <f t="shared" si="50"/>
        <v>0</v>
      </c>
      <c r="AS195" s="120">
        <f t="shared" si="50"/>
        <v>0</v>
      </c>
      <c r="AT195" s="120">
        <f t="shared" si="50"/>
        <v>0</v>
      </c>
      <c r="AU195" s="120">
        <f t="shared" si="50"/>
        <v>0</v>
      </c>
      <c r="AV195" s="120">
        <f t="shared" si="50"/>
        <v>0</v>
      </c>
      <c r="AW195" s="120">
        <f t="shared" si="50"/>
        <v>0</v>
      </c>
      <c r="AX195" s="120">
        <f t="shared" si="50"/>
        <v>0</v>
      </c>
      <c r="AY195" s="120">
        <f t="shared" si="50"/>
        <v>0</v>
      </c>
      <c r="AZ195" s="120">
        <f t="shared" si="50"/>
        <v>0</v>
      </c>
      <c r="BA195" s="120">
        <f t="shared" si="50"/>
        <v>0</v>
      </c>
      <c r="BB195" s="120">
        <f t="shared" si="50"/>
        <v>0</v>
      </c>
      <c r="BC195" s="120">
        <f t="shared" si="50"/>
        <v>0</v>
      </c>
      <c r="BD195" s="120">
        <f t="shared" si="50"/>
        <v>0</v>
      </c>
      <c r="BE195" s="120">
        <f t="shared" si="50"/>
        <v>0</v>
      </c>
      <c r="BF195" s="120">
        <f t="shared" si="50"/>
        <v>0</v>
      </c>
      <c r="BG195" s="120">
        <f t="shared" si="50"/>
        <v>0</v>
      </c>
      <c r="BH195" s="120">
        <f t="shared" si="50"/>
        <v>0</v>
      </c>
      <c r="BI195" s="120">
        <f t="shared" si="50"/>
        <v>0</v>
      </c>
      <c r="BJ195" s="120">
        <f t="shared" si="50"/>
        <v>0</v>
      </c>
      <c r="BK195" s="120">
        <f t="shared" si="50"/>
        <v>0</v>
      </c>
      <c r="BL195" s="120">
        <f t="shared" si="50"/>
        <v>0</v>
      </c>
      <c r="BM195" s="120">
        <f t="shared" si="50"/>
        <v>0</v>
      </c>
      <c r="BN195" s="120">
        <f t="shared" si="50"/>
        <v>0</v>
      </c>
      <c r="BO195" s="120">
        <f t="shared" si="50"/>
        <v>0</v>
      </c>
      <c r="BP195" s="120">
        <f t="shared" si="50"/>
        <v>0</v>
      </c>
      <c r="BQ195" s="120">
        <f t="shared" si="50"/>
        <v>0</v>
      </c>
      <c r="BR195" s="120">
        <f t="shared" si="50"/>
        <v>0</v>
      </c>
      <c r="BS195" s="120">
        <f t="shared" si="50"/>
        <v>0</v>
      </c>
      <c r="BT195" s="120">
        <f t="shared" si="50"/>
        <v>0</v>
      </c>
      <c r="BU195" s="120">
        <f t="shared" si="50"/>
        <v>0</v>
      </c>
      <c r="BV195" s="120">
        <f t="shared" si="50"/>
        <v>0</v>
      </c>
      <c r="BW195" s="120">
        <f aca="true" t="shared" si="51" ref="BW195:DF195">IF(BW191&lt;=$B$181,$F$181,0)</f>
        <v>0</v>
      </c>
      <c r="BX195" s="120">
        <f t="shared" si="51"/>
        <v>0</v>
      </c>
      <c r="BY195" s="120">
        <f t="shared" si="51"/>
        <v>0</v>
      </c>
      <c r="BZ195" s="120">
        <f t="shared" si="51"/>
        <v>0</v>
      </c>
      <c r="CA195" s="120">
        <f t="shared" si="51"/>
        <v>0</v>
      </c>
      <c r="CB195" s="120">
        <f t="shared" si="51"/>
        <v>0</v>
      </c>
      <c r="CC195" s="120">
        <f t="shared" si="51"/>
        <v>0</v>
      </c>
      <c r="CD195" s="120">
        <f t="shared" si="51"/>
        <v>0</v>
      </c>
      <c r="CE195" s="120">
        <f t="shared" si="51"/>
        <v>0</v>
      </c>
      <c r="CF195" s="120">
        <f t="shared" si="51"/>
        <v>0</v>
      </c>
      <c r="CG195" s="120">
        <f t="shared" si="51"/>
        <v>0</v>
      </c>
      <c r="CH195" s="120">
        <f t="shared" si="51"/>
        <v>0</v>
      </c>
      <c r="CI195" s="120">
        <f t="shared" si="51"/>
        <v>0</v>
      </c>
      <c r="CJ195" s="120">
        <f t="shared" si="51"/>
        <v>0</v>
      </c>
      <c r="CK195" s="120">
        <f t="shared" si="51"/>
        <v>0</v>
      </c>
      <c r="CL195" s="120">
        <f t="shared" si="51"/>
        <v>0</v>
      </c>
      <c r="CM195" s="120">
        <f t="shared" si="51"/>
        <v>0</v>
      </c>
      <c r="CN195" s="120">
        <f t="shared" si="51"/>
        <v>0</v>
      </c>
      <c r="CO195" s="120">
        <f t="shared" si="51"/>
        <v>0</v>
      </c>
      <c r="CP195" s="120">
        <f t="shared" si="51"/>
        <v>0</v>
      </c>
      <c r="CQ195" s="120">
        <f t="shared" si="51"/>
        <v>0</v>
      </c>
      <c r="CR195" s="120">
        <f t="shared" si="51"/>
        <v>0</v>
      </c>
      <c r="CS195" s="120">
        <f t="shared" si="51"/>
        <v>0</v>
      </c>
      <c r="CT195" s="120">
        <f t="shared" si="51"/>
        <v>0</v>
      </c>
      <c r="CU195" s="120">
        <f t="shared" si="51"/>
        <v>0</v>
      </c>
      <c r="CV195" s="120">
        <f t="shared" si="51"/>
        <v>0</v>
      </c>
      <c r="CW195" s="120">
        <f t="shared" si="51"/>
        <v>0</v>
      </c>
      <c r="CX195" s="120">
        <f t="shared" si="51"/>
        <v>0</v>
      </c>
      <c r="CY195" s="120">
        <f t="shared" si="51"/>
        <v>0</v>
      </c>
      <c r="CZ195" s="120">
        <f t="shared" si="51"/>
        <v>0</v>
      </c>
      <c r="DA195" s="120">
        <f t="shared" si="51"/>
        <v>0</v>
      </c>
      <c r="DB195" s="120">
        <f t="shared" si="51"/>
        <v>0</v>
      </c>
      <c r="DC195" s="120">
        <f t="shared" si="51"/>
        <v>0</v>
      </c>
      <c r="DD195" s="120">
        <f t="shared" si="51"/>
        <v>0</v>
      </c>
      <c r="DE195" s="120">
        <f t="shared" si="51"/>
        <v>0</v>
      </c>
      <c r="DF195" s="120">
        <f t="shared" si="51"/>
        <v>0</v>
      </c>
    </row>
    <row r="196" spans="1:110" ht="29.25" customHeight="1">
      <c r="A196" s="96" t="s">
        <v>378</v>
      </c>
      <c r="B196" s="96">
        <v>99</v>
      </c>
      <c r="C196" s="96" t="s">
        <v>93</v>
      </c>
      <c r="D196" s="390">
        <f>'Buffer input prices'!D31</f>
        <v>30</v>
      </c>
      <c r="E196" s="121">
        <v>1</v>
      </c>
      <c r="F196" s="391">
        <f>E196*D196</f>
        <v>30</v>
      </c>
      <c r="G196" s="192">
        <f>(F196/((1+'Farm and Buffer Assumptions'!D20)^'Farm and Buffer Assumptions'!D23-1))</f>
        <v>176.61753402360154</v>
      </c>
      <c r="H196" s="211" t="s">
        <v>454</v>
      </c>
      <c r="I196" s="1"/>
      <c r="J196" s="96" t="s">
        <v>339</v>
      </c>
      <c r="K196" s="120">
        <f>F182</f>
        <v>0</v>
      </c>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c r="BO196" s="96"/>
      <c r="BP196" s="96"/>
      <c r="BQ196" s="96"/>
      <c r="BR196" s="96"/>
      <c r="BS196" s="96"/>
      <c r="BT196" s="96"/>
      <c r="BU196" s="96"/>
      <c r="BV196" s="96"/>
      <c r="BW196" s="96"/>
      <c r="BX196" s="96"/>
      <c r="BY196" s="96"/>
      <c r="BZ196" s="96"/>
      <c r="CA196" s="96"/>
      <c r="CB196" s="96"/>
      <c r="CC196" s="96"/>
      <c r="CD196" s="96"/>
      <c r="CE196" s="96"/>
      <c r="CF196" s="96"/>
      <c r="CG196" s="96"/>
      <c r="CH196" s="96"/>
      <c r="CI196" s="96"/>
      <c r="CJ196" s="96"/>
      <c r="CK196" s="96"/>
      <c r="CL196" s="96"/>
      <c r="CM196" s="96"/>
      <c r="CN196" s="96"/>
      <c r="CO196" s="96"/>
      <c r="CP196" s="96"/>
      <c r="CQ196" s="96"/>
      <c r="CR196" s="96"/>
      <c r="CS196" s="96"/>
      <c r="CT196" s="96"/>
      <c r="CU196" s="96"/>
      <c r="CV196" s="96"/>
      <c r="CW196" s="96"/>
      <c r="CX196" s="96"/>
      <c r="CY196" s="96"/>
      <c r="CZ196" s="96"/>
      <c r="DA196" s="96"/>
      <c r="DB196" s="96"/>
      <c r="DC196" s="96"/>
      <c r="DD196" s="96"/>
      <c r="DE196" s="96"/>
      <c r="DF196" s="96"/>
    </row>
    <row r="197" spans="1:110" ht="33" customHeight="1">
      <c r="A197" s="96" t="s">
        <v>234</v>
      </c>
      <c r="B197" s="96">
        <v>99</v>
      </c>
      <c r="C197" s="96" t="s">
        <v>93</v>
      </c>
      <c r="D197" s="191">
        <f>'Buffer input prices'!D29</f>
        <v>39</v>
      </c>
      <c r="E197" s="121">
        <v>1</v>
      </c>
      <c r="F197" s="391">
        <f>E197*D197</f>
        <v>39</v>
      </c>
      <c r="G197" s="192">
        <f>(F197/((1+'Farm and Buffer Assumptions'!D20)^'Farm and Buffer Assumptions'!D23-1))</f>
        <v>229.60279423068198</v>
      </c>
      <c r="H197" s="211" t="s">
        <v>456</v>
      </c>
      <c r="I197" s="1"/>
      <c r="J197" s="96" t="s">
        <v>452</v>
      </c>
      <c r="K197" s="120">
        <f aca="true" t="shared" si="52" ref="K197:AP197">$F$183</f>
        <v>370.5</v>
      </c>
      <c r="L197" s="120">
        <f t="shared" si="52"/>
        <v>370.5</v>
      </c>
      <c r="M197" s="120">
        <f t="shared" si="52"/>
        <v>370.5</v>
      </c>
      <c r="N197" s="120">
        <f t="shared" si="52"/>
        <v>370.5</v>
      </c>
      <c r="O197" s="120">
        <f t="shared" si="52"/>
        <v>370.5</v>
      </c>
      <c r="P197" s="120">
        <f t="shared" si="52"/>
        <v>370.5</v>
      </c>
      <c r="Q197" s="120">
        <f t="shared" si="52"/>
        <v>370.5</v>
      </c>
      <c r="R197" s="120">
        <f t="shared" si="52"/>
        <v>370.5</v>
      </c>
      <c r="S197" s="120">
        <f t="shared" si="52"/>
        <v>370.5</v>
      </c>
      <c r="T197" s="120">
        <f t="shared" si="52"/>
        <v>370.5</v>
      </c>
      <c r="U197" s="120">
        <f t="shared" si="52"/>
        <v>370.5</v>
      </c>
      <c r="V197" s="120">
        <f t="shared" si="52"/>
        <v>370.5</v>
      </c>
      <c r="W197" s="120">
        <f t="shared" si="52"/>
        <v>370.5</v>
      </c>
      <c r="X197" s="120">
        <f t="shared" si="52"/>
        <v>370.5</v>
      </c>
      <c r="Y197" s="120">
        <f t="shared" si="52"/>
        <v>370.5</v>
      </c>
      <c r="Z197" s="120">
        <f t="shared" si="52"/>
        <v>370.5</v>
      </c>
      <c r="AA197" s="120">
        <f t="shared" si="52"/>
        <v>370.5</v>
      </c>
      <c r="AB197" s="120">
        <f t="shared" si="52"/>
        <v>370.5</v>
      </c>
      <c r="AC197" s="120">
        <f t="shared" si="52"/>
        <v>370.5</v>
      </c>
      <c r="AD197" s="120">
        <f t="shared" si="52"/>
        <v>370.5</v>
      </c>
      <c r="AE197" s="120">
        <f t="shared" si="52"/>
        <v>370.5</v>
      </c>
      <c r="AF197" s="120">
        <f t="shared" si="52"/>
        <v>370.5</v>
      </c>
      <c r="AG197" s="120">
        <f t="shared" si="52"/>
        <v>370.5</v>
      </c>
      <c r="AH197" s="120">
        <f t="shared" si="52"/>
        <v>370.5</v>
      </c>
      <c r="AI197" s="120">
        <f t="shared" si="52"/>
        <v>370.5</v>
      </c>
      <c r="AJ197" s="120">
        <f t="shared" si="52"/>
        <v>370.5</v>
      </c>
      <c r="AK197" s="120">
        <f t="shared" si="52"/>
        <v>370.5</v>
      </c>
      <c r="AL197" s="120">
        <f t="shared" si="52"/>
        <v>370.5</v>
      </c>
      <c r="AM197" s="120">
        <f t="shared" si="52"/>
        <v>370.5</v>
      </c>
      <c r="AN197" s="120">
        <f t="shared" si="52"/>
        <v>370.5</v>
      </c>
      <c r="AO197" s="120">
        <f t="shared" si="52"/>
        <v>370.5</v>
      </c>
      <c r="AP197" s="120">
        <f t="shared" si="52"/>
        <v>370.5</v>
      </c>
      <c r="AQ197" s="120">
        <f aca="true" t="shared" si="53" ref="AQ197:BV197">$F$183</f>
        <v>370.5</v>
      </c>
      <c r="AR197" s="120">
        <f t="shared" si="53"/>
        <v>370.5</v>
      </c>
      <c r="AS197" s="120">
        <f t="shared" si="53"/>
        <v>370.5</v>
      </c>
      <c r="AT197" s="120">
        <f t="shared" si="53"/>
        <v>370.5</v>
      </c>
      <c r="AU197" s="120">
        <f t="shared" si="53"/>
        <v>370.5</v>
      </c>
      <c r="AV197" s="120">
        <f t="shared" si="53"/>
        <v>370.5</v>
      </c>
      <c r="AW197" s="120">
        <f t="shared" si="53"/>
        <v>370.5</v>
      </c>
      <c r="AX197" s="120">
        <f t="shared" si="53"/>
        <v>370.5</v>
      </c>
      <c r="AY197" s="120">
        <f t="shared" si="53"/>
        <v>370.5</v>
      </c>
      <c r="AZ197" s="120">
        <f t="shared" si="53"/>
        <v>370.5</v>
      </c>
      <c r="BA197" s="120">
        <f t="shared" si="53"/>
        <v>370.5</v>
      </c>
      <c r="BB197" s="120">
        <f t="shared" si="53"/>
        <v>370.5</v>
      </c>
      <c r="BC197" s="120">
        <f t="shared" si="53"/>
        <v>370.5</v>
      </c>
      <c r="BD197" s="120">
        <f t="shared" si="53"/>
        <v>370.5</v>
      </c>
      <c r="BE197" s="120">
        <f t="shared" si="53"/>
        <v>370.5</v>
      </c>
      <c r="BF197" s="120">
        <f t="shared" si="53"/>
        <v>370.5</v>
      </c>
      <c r="BG197" s="120">
        <f t="shared" si="53"/>
        <v>370.5</v>
      </c>
      <c r="BH197" s="120">
        <f t="shared" si="53"/>
        <v>370.5</v>
      </c>
      <c r="BI197" s="120">
        <f t="shared" si="53"/>
        <v>370.5</v>
      </c>
      <c r="BJ197" s="120">
        <f t="shared" si="53"/>
        <v>370.5</v>
      </c>
      <c r="BK197" s="120">
        <f t="shared" si="53"/>
        <v>370.5</v>
      </c>
      <c r="BL197" s="120">
        <f t="shared" si="53"/>
        <v>370.5</v>
      </c>
      <c r="BM197" s="120">
        <f t="shared" si="53"/>
        <v>370.5</v>
      </c>
      <c r="BN197" s="120">
        <f t="shared" si="53"/>
        <v>370.5</v>
      </c>
      <c r="BO197" s="120">
        <f t="shared" si="53"/>
        <v>370.5</v>
      </c>
      <c r="BP197" s="120">
        <f t="shared" si="53"/>
        <v>370.5</v>
      </c>
      <c r="BQ197" s="120">
        <f t="shared" si="53"/>
        <v>370.5</v>
      </c>
      <c r="BR197" s="120">
        <f t="shared" si="53"/>
        <v>370.5</v>
      </c>
      <c r="BS197" s="120">
        <f t="shared" si="53"/>
        <v>370.5</v>
      </c>
      <c r="BT197" s="120">
        <f t="shared" si="53"/>
        <v>370.5</v>
      </c>
      <c r="BU197" s="120">
        <f t="shared" si="53"/>
        <v>370.5</v>
      </c>
      <c r="BV197" s="120">
        <f t="shared" si="53"/>
        <v>370.5</v>
      </c>
      <c r="BW197" s="120">
        <f aca="true" t="shared" si="54" ref="BW197:DF197">$F$183</f>
        <v>370.5</v>
      </c>
      <c r="BX197" s="120">
        <f t="shared" si="54"/>
        <v>370.5</v>
      </c>
      <c r="BY197" s="120">
        <f t="shared" si="54"/>
        <v>370.5</v>
      </c>
      <c r="BZ197" s="120">
        <f t="shared" si="54"/>
        <v>370.5</v>
      </c>
      <c r="CA197" s="120">
        <f t="shared" si="54"/>
        <v>370.5</v>
      </c>
      <c r="CB197" s="120">
        <f t="shared" si="54"/>
        <v>370.5</v>
      </c>
      <c r="CC197" s="120">
        <f t="shared" si="54"/>
        <v>370.5</v>
      </c>
      <c r="CD197" s="120">
        <f t="shared" si="54"/>
        <v>370.5</v>
      </c>
      <c r="CE197" s="120">
        <f t="shared" si="54"/>
        <v>370.5</v>
      </c>
      <c r="CF197" s="120">
        <f t="shared" si="54"/>
        <v>370.5</v>
      </c>
      <c r="CG197" s="120">
        <f t="shared" si="54"/>
        <v>370.5</v>
      </c>
      <c r="CH197" s="120">
        <f t="shared" si="54"/>
        <v>370.5</v>
      </c>
      <c r="CI197" s="120">
        <f t="shared" si="54"/>
        <v>370.5</v>
      </c>
      <c r="CJ197" s="120">
        <f t="shared" si="54"/>
        <v>370.5</v>
      </c>
      <c r="CK197" s="120">
        <f t="shared" si="54"/>
        <v>370.5</v>
      </c>
      <c r="CL197" s="120">
        <f t="shared" si="54"/>
        <v>370.5</v>
      </c>
      <c r="CM197" s="120">
        <f t="shared" si="54"/>
        <v>370.5</v>
      </c>
      <c r="CN197" s="120">
        <f t="shared" si="54"/>
        <v>370.5</v>
      </c>
      <c r="CO197" s="120">
        <f t="shared" si="54"/>
        <v>370.5</v>
      </c>
      <c r="CP197" s="120">
        <f t="shared" si="54"/>
        <v>370.5</v>
      </c>
      <c r="CQ197" s="120">
        <f t="shared" si="54"/>
        <v>370.5</v>
      </c>
      <c r="CR197" s="120">
        <f t="shared" si="54"/>
        <v>370.5</v>
      </c>
      <c r="CS197" s="120">
        <f t="shared" si="54"/>
        <v>370.5</v>
      </c>
      <c r="CT197" s="120">
        <f t="shared" si="54"/>
        <v>370.5</v>
      </c>
      <c r="CU197" s="120">
        <f t="shared" si="54"/>
        <v>370.5</v>
      </c>
      <c r="CV197" s="120">
        <f t="shared" si="54"/>
        <v>370.5</v>
      </c>
      <c r="CW197" s="120">
        <f t="shared" si="54"/>
        <v>370.5</v>
      </c>
      <c r="CX197" s="120">
        <f t="shared" si="54"/>
        <v>370.5</v>
      </c>
      <c r="CY197" s="120">
        <f t="shared" si="54"/>
        <v>370.5</v>
      </c>
      <c r="CZ197" s="120">
        <f t="shared" si="54"/>
        <v>370.5</v>
      </c>
      <c r="DA197" s="120">
        <f t="shared" si="54"/>
        <v>370.5</v>
      </c>
      <c r="DB197" s="120">
        <f t="shared" si="54"/>
        <v>370.5</v>
      </c>
      <c r="DC197" s="120">
        <f t="shared" si="54"/>
        <v>370.5</v>
      </c>
      <c r="DD197" s="120">
        <f t="shared" si="54"/>
        <v>370.5</v>
      </c>
      <c r="DE197" s="120">
        <f t="shared" si="54"/>
        <v>370.5</v>
      </c>
      <c r="DF197" s="120">
        <f t="shared" si="54"/>
        <v>370.5</v>
      </c>
    </row>
    <row r="198" spans="1:110" ht="25.5" customHeight="1">
      <c r="A198" s="163" t="s">
        <v>457</v>
      </c>
      <c r="B198" s="171"/>
      <c r="C198" s="171"/>
      <c r="D198" s="171"/>
      <c r="E198" s="171"/>
      <c r="F198" s="199">
        <f>SUM(F194:F197)</f>
        <v>255</v>
      </c>
      <c r="G198" s="200">
        <f>SUM(G194:G197)</f>
        <v>5056.220328254283</v>
      </c>
      <c r="H198" s="211"/>
      <c r="I198" s="1"/>
      <c r="J198" s="96" t="s">
        <v>341</v>
      </c>
      <c r="K198" s="120">
        <f>G191</f>
        <v>1109</v>
      </c>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6"/>
      <c r="CY198" s="96"/>
      <c r="CZ198" s="96"/>
      <c r="DA198" s="96"/>
      <c r="DB198" s="96"/>
      <c r="DC198" s="96"/>
      <c r="DD198" s="96"/>
      <c r="DE198" s="96"/>
      <c r="DF198" s="96"/>
    </row>
    <row r="199" spans="1:110" ht="14.25" customHeight="1">
      <c r="A199" s="96"/>
      <c r="B199" s="96"/>
      <c r="C199" s="96"/>
      <c r="D199" s="191"/>
      <c r="E199" s="121"/>
      <c r="F199" s="121"/>
      <c r="G199" s="192"/>
      <c r="H199" s="211"/>
      <c r="I199" s="1"/>
      <c r="J199" s="96" t="s">
        <v>455</v>
      </c>
      <c r="K199" s="120">
        <f>F195</f>
        <v>170</v>
      </c>
      <c r="L199" s="120">
        <f>$F$194+$F$195</f>
        <v>186</v>
      </c>
      <c r="M199" s="120">
        <f>$F$194+$F$195</f>
        <v>186</v>
      </c>
      <c r="N199" s="120">
        <f>$F$194+$F$195</f>
        <v>186</v>
      </c>
      <c r="O199" s="120">
        <f>$F$194+$F$195</f>
        <v>186</v>
      </c>
      <c r="P199" s="120">
        <f>SUM($F$194:$F$197)</f>
        <v>255</v>
      </c>
      <c r="Q199" s="120">
        <f>$F$194+$F$195</f>
        <v>186</v>
      </c>
      <c r="R199" s="120">
        <f>$F$194+$F$195</f>
        <v>186</v>
      </c>
      <c r="S199" s="120">
        <f>$F$194+$F$195</f>
        <v>186</v>
      </c>
      <c r="T199" s="120">
        <f>$F$194+$F$195</f>
        <v>186</v>
      </c>
      <c r="U199" s="120">
        <f>SUM($F$194:$F$197)</f>
        <v>255</v>
      </c>
      <c r="V199" s="120">
        <f>$F$194+$F$195</f>
        <v>186</v>
      </c>
      <c r="W199" s="120">
        <f>$F$194+$F$195</f>
        <v>186</v>
      </c>
      <c r="X199" s="120">
        <f>$F$194+$F$195</f>
        <v>186</v>
      </c>
      <c r="Y199" s="120">
        <f>$F$194+$F$195</f>
        <v>186</v>
      </c>
      <c r="Z199" s="120">
        <f>SUM($F$194:$F$197)</f>
        <v>255</v>
      </c>
      <c r="AA199" s="120">
        <f>$F$194+$F$195</f>
        <v>186</v>
      </c>
      <c r="AB199" s="120">
        <f>$F$194+$F$195</f>
        <v>186</v>
      </c>
      <c r="AC199" s="120">
        <f>$F$194+$F$195</f>
        <v>186</v>
      </c>
      <c r="AD199" s="120">
        <f>$F$194+$F$195</f>
        <v>186</v>
      </c>
      <c r="AE199" s="120">
        <f>SUM($F$194:$F$197)</f>
        <v>255</v>
      </c>
      <c r="AF199" s="120">
        <f>$F$194+$F$195</f>
        <v>186</v>
      </c>
      <c r="AG199" s="120">
        <f>$F$194+$F$195</f>
        <v>186</v>
      </c>
      <c r="AH199" s="120">
        <f>$F$194+$F$195</f>
        <v>186</v>
      </c>
      <c r="AI199" s="120">
        <f>$F$194+$F$195</f>
        <v>186</v>
      </c>
      <c r="AJ199" s="120">
        <f>SUM($F$194:$F$197)</f>
        <v>255</v>
      </c>
      <c r="AK199" s="120">
        <f>$F$194+$F$195</f>
        <v>186</v>
      </c>
      <c r="AL199" s="120">
        <f>$F$194+$F$195</f>
        <v>186</v>
      </c>
      <c r="AM199" s="120">
        <f>$F$194+$F$195</f>
        <v>186</v>
      </c>
      <c r="AN199" s="120">
        <f>$F$194+$F$195</f>
        <v>186</v>
      </c>
      <c r="AO199" s="120">
        <f>SUM($F$194:$F$197)</f>
        <v>255</v>
      </c>
      <c r="AP199" s="120">
        <f>$F$194+$F$195</f>
        <v>186</v>
      </c>
      <c r="AQ199" s="120">
        <f>$F$194+$F$195</f>
        <v>186</v>
      </c>
      <c r="AR199" s="120">
        <f>$F$194+$F$195</f>
        <v>186</v>
      </c>
      <c r="AS199" s="120">
        <f>$F$194+$F$195</f>
        <v>186</v>
      </c>
      <c r="AT199" s="120">
        <f>SUM($F$194:$F$197)</f>
        <v>255</v>
      </c>
      <c r="AU199" s="120">
        <f>$F$194+$F$195</f>
        <v>186</v>
      </c>
      <c r="AV199" s="120">
        <f>$F$194+$F$195</f>
        <v>186</v>
      </c>
      <c r="AW199" s="120">
        <f>$F$194+$F$195</f>
        <v>186</v>
      </c>
      <c r="AX199" s="120">
        <f>$F$194+$F$195</f>
        <v>186</v>
      </c>
      <c r="AY199" s="120">
        <f>SUM($F$194:$F$197)</f>
        <v>255</v>
      </c>
      <c r="AZ199" s="120">
        <f>$F$194+$F$195</f>
        <v>186</v>
      </c>
      <c r="BA199" s="120">
        <f>$F$194+$F$195</f>
        <v>186</v>
      </c>
      <c r="BB199" s="120">
        <f>$F$194+$F$195</f>
        <v>186</v>
      </c>
      <c r="BC199" s="120">
        <f>$F$194+$F$195</f>
        <v>186</v>
      </c>
      <c r="BD199" s="120">
        <f>SUM($F$194:$F$197)</f>
        <v>255</v>
      </c>
      <c r="BE199" s="120">
        <f>$F$194+$F$195</f>
        <v>186</v>
      </c>
      <c r="BF199" s="120">
        <f>$F$194+$F$195</f>
        <v>186</v>
      </c>
      <c r="BG199" s="120">
        <f>$F$194+$F$195</f>
        <v>186</v>
      </c>
      <c r="BH199" s="120">
        <f>$F$194+$F$195</f>
        <v>186</v>
      </c>
      <c r="BI199" s="120">
        <f>SUM($F$194:$F$197)</f>
        <v>255</v>
      </c>
      <c r="BJ199" s="120">
        <f>$F$194+$F$195</f>
        <v>186</v>
      </c>
      <c r="BK199" s="120">
        <f>$F$194+$F$195</f>
        <v>186</v>
      </c>
      <c r="BL199" s="120">
        <f>$F$194+$F$195</f>
        <v>186</v>
      </c>
      <c r="BM199" s="120">
        <f>$F$194+$F$195</f>
        <v>186</v>
      </c>
      <c r="BN199" s="120">
        <f>SUM($F$194:$F$197)</f>
        <v>255</v>
      </c>
      <c r="BO199" s="120">
        <f>$F$194+$F$195</f>
        <v>186</v>
      </c>
      <c r="BP199" s="120">
        <f>$F$194+$F$195</f>
        <v>186</v>
      </c>
      <c r="BQ199" s="120">
        <f>$F$194+$F$195</f>
        <v>186</v>
      </c>
      <c r="BR199" s="120">
        <f>$F$194+$F$195</f>
        <v>186</v>
      </c>
      <c r="BS199" s="120">
        <f>SUM($F$194:$F$197)</f>
        <v>255</v>
      </c>
      <c r="BT199" s="120">
        <f>$F$194+$F$195</f>
        <v>186</v>
      </c>
      <c r="BU199" s="120">
        <f>$F$194+$F$195</f>
        <v>186</v>
      </c>
      <c r="BV199" s="120">
        <f>$F$194+$F$195</f>
        <v>186</v>
      </c>
      <c r="BW199" s="120">
        <f>$F$194+$F$195</f>
        <v>186</v>
      </c>
      <c r="BX199" s="120">
        <f>SUM($F$194:$F$197)</f>
        <v>255</v>
      </c>
      <c r="BY199" s="120">
        <f>$F$194+$F$195</f>
        <v>186</v>
      </c>
      <c r="BZ199" s="120">
        <f>$F$194+$F$195</f>
        <v>186</v>
      </c>
      <c r="CA199" s="120">
        <f>$F$194+$F$195</f>
        <v>186</v>
      </c>
      <c r="CB199" s="120">
        <f>$F$194+$F$195</f>
        <v>186</v>
      </c>
      <c r="CC199" s="120">
        <f>SUM($F$194:$F$197)</f>
        <v>255</v>
      </c>
      <c r="CD199" s="120">
        <f>$F$194+$F$195</f>
        <v>186</v>
      </c>
      <c r="CE199" s="120">
        <f>$F$194+$F$195</f>
        <v>186</v>
      </c>
      <c r="CF199" s="120">
        <f>$F$194+$F$195</f>
        <v>186</v>
      </c>
      <c r="CG199" s="120">
        <f>$F$194+$F$195</f>
        <v>186</v>
      </c>
      <c r="CH199" s="120">
        <f>SUM($F$194:$F$197)</f>
        <v>255</v>
      </c>
      <c r="CI199" s="120">
        <f>$F$194+$F$195</f>
        <v>186</v>
      </c>
      <c r="CJ199" s="120">
        <f>$F$194+$F$195</f>
        <v>186</v>
      </c>
      <c r="CK199" s="120">
        <f>$F$194+$F$195</f>
        <v>186</v>
      </c>
      <c r="CL199" s="120">
        <f>$F$194+$F$195</f>
        <v>186</v>
      </c>
      <c r="CM199" s="120">
        <f>SUM($F$194:$F$197)</f>
        <v>255</v>
      </c>
      <c r="CN199" s="120">
        <f>$F$194+$F$195</f>
        <v>186</v>
      </c>
      <c r="CO199" s="120">
        <f>$F$194+$F$195</f>
        <v>186</v>
      </c>
      <c r="CP199" s="120">
        <f>$F$194+$F$195</f>
        <v>186</v>
      </c>
      <c r="CQ199" s="120">
        <f>$F$194+$F$195</f>
        <v>186</v>
      </c>
      <c r="CR199" s="120">
        <f>SUM($F$194:$F$197)</f>
        <v>255</v>
      </c>
      <c r="CS199" s="120">
        <f>$F$194+$F$195</f>
        <v>186</v>
      </c>
      <c r="CT199" s="120">
        <f>$F$194+$F$195</f>
        <v>186</v>
      </c>
      <c r="CU199" s="120">
        <f>$F$194+$F$195</f>
        <v>186</v>
      </c>
      <c r="CV199" s="120">
        <f>$F$194+$F$195</f>
        <v>186</v>
      </c>
      <c r="CW199" s="120">
        <f>SUM($F$194:$F$197)</f>
        <v>255</v>
      </c>
      <c r="CX199" s="120">
        <f>$F$194+$F$195</f>
        <v>186</v>
      </c>
      <c r="CY199" s="120">
        <f>$F$194+$F$195</f>
        <v>186</v>
      </c>
      <c r="CZ199" s="120">
        <f>$F$194+$F$195</f>
        <v>186</v>
      </c>
      <c r="DA199" s="120">
        <f>$F$194+$F$195</f>
        <v>186</v>
      </c>
      <c r="DB199" s="120">
        <f>SUM($F$194:$F$197)</f>
        <v>255</v>
      </c>
      <c r="DC199" s="120">
        <f>$F$194+$F$195</f>
        <v>186</v>
      </c>
      <c r="DD199" s="120">
        <f>$F$194+$F$195</f>
        <v>186</v>
      </c>
      <c r="DE199" s="120">
        <f>$F$194+$F$195</f>
        <v>186</v>
      </c>
      <c r="DF199" s="120">
        <f>$F$194+$F$195</f>
        <v>186</v>
      </c>
    </row>
    <row r="200" spans="1:110" ht="31.5" customHeight="1">
      <c r="A200" s="194" t="s">
        <v>355</v>
      </c>
      <c r="B200" s="194"/>
      <c r="C200" s="194"/>
      <c r="D200" s="203"/>
      <c r="E200" s="204"/>
      <c r="F200" s="204">
        <f>F191+F198+F199</f>
        <v>1364</v>
      </c>
      <c r="G200" s="205">
        <f>G191+G198+G199</f>
        <v>6165.220328254283</v>
      </c>
      <c r="H200" s="225"/>
      <c r="J200" s="238" t="s">
        <v>344</v>
      </c>
      <c r="K200" s="7">
        <f aca="true" t="shared" si="55" ref="K200:BV200">SUM(K193:K197)-SUM(K198:K199)</f>
        <v>-908.5</v>
      </c>
      <c r="L200" s="7">
        <f t="shared" si="55"/>
        <v>184.5</v>
      </c>
      <c r="M200" s="7">
        <f t="shared" si="55"/>
        <v>184.5</v>
      </c>
      <c r="N200" s="7">
        <f t="shared" si="55"/>
        <v>184.5</v>
      </c>
      <c r="O200" s="7">
        <f t="shared" si="55"/>
        <v>184.5</v>
      </c>
      <c r="P200" s="7">
        <f t="shared" si="55"/>
        <v>115.5</v>
      </c>
      <c r="Q200" s="7">
        <f t="shared" si="55"/>
        <v>184.5</v>
      </c>
      <c r="R200" s="7">
        <f t="shared" si="55"/>
        <v>184.5</v>
      </c>
      <c r="S200" s="7">
        <f t="shared" si="55"/>
        <v>184.5</v>
      </c>
      <c r="T200" s="7">
        <f t="shared" si="55"/>
        <v>184.5</v>
      </c>
      <c r="U200" s="7">
        <f t="shared" si="55"/>
        <v>115.5</v>
      </c>
      <c r="V200" s="7">
        <f t="shared" si="55"/>
        <v>184.5</v>
      </c>
      <c r="W200" s="7">
        <f t="shared" si="55"/>
        <v>184.5</v>
      </c>
      <c r="X200" s="7">
        <f t="shared" si="55"/>
        <v>184.5</v>
      </c>
      <c r="Y200" s="7">
        <f t="shared" si="55"/>
        <v>184.5</v>
      </c>
      <c r="Z200" s="7">
        <f t="shared" si="55"/>
        <v>115.5</v>
      </c>
      <c r="AA200" s="7">
        <f t="shared" si="55"/>
        <v>184.5</v>
      </c>
      <c r="AB200" s="7">
        <f t="shared" si="55"/>
        <v>184.5</v>
      </c>
      <c r="AC200" s="7">
        <f t="shared" si="55"/>
        <v>184.5</v>
      </c>
      <c r="AD200" s="7">
        <f t="shared" si="55"/>
        <v>184.5</v>
      </c>
      <c r="AE200" s="7">
        <f t="shared" si="55"/>
        <v>115.5</v>
      </c>
      <c r="AF200" s="7">
        <f t="shared" si="55"/>
        <v>184.5</v>
      </c>
      <c r="AG200" s="7">
        <f t="shared" si="55"/>
        <v>184.5</v>
      </c>
      <c r="AH200" s="7">
        <f t="shared" si="55"/>
        <v>184.5</v>
      </c>
      <c r="AI200" s="7">
        <f t="shared" si="55"/>
        <v>184.5</v>
      </c>
      <c r="AJ200" s="7">
        <f t="shared" si="55"/>
        <v>115.5</v>
      </c>
      <c r="AK200" s="7">
        <f t="shared" si="55"/>
        <v>184.5</v>
      </c>
      <c r="AL200" s="7">
        <f t="shared" si="55"/>
        <v>184.5</v>
      </c>
      <c r="AM200" s="7">
        <f t="shared" si="55"/>
        <v>184.5</v>
      </c>
      <c r="AN200" s="7">
        <f t="shared" si="55"/>
        <v>184.5</v>
      </c>
      <c r="AO200" s="7">
        <f t="shared" si="55"/>
        <v>115.5</v>
      </c>
      <c r="AP200" s="7">
        <f t="shared" si="55"/>
        <v>184.5</v>
      </c>
      <c r="AQ200" s="7">
        <f t="shared" si="55"/>
        <v>184.5</v>
      </c>
      <c r="AR200" s="7">
        <f t="shared" si="55"/>
        <v>184.5</v>
      </c>
      <c r="AS200" s="7">
        <f t="shared" si="55"/>
        <v>184.5</v>
      </c>
      <c r="AT200" s="7">
        <f t="shared" si="55"/>
        <v>115.5</v>
      </c>
      <c r="AU200" s="7">
        <f t="shared" si="55"/>
        <v>184.5</v>
      </c>
      <c r="AV200" s="7">
        <f t="shared" si="55"/>
        <v>184.5</v>
      </c>
      <c r="AW200" s="7">
        <f t="shared" si="55"/>
        <v>184.5</v>
      </c>
      <c r="AX200" s="7">
        <f t="shared" si="55"/>
        <v>184.5</v>
      </c>
      <c r="AY200" s="7">
        <f t="shared" si="55"/>
        <v>115.5</v>
      </c>
      <c r="AZ200" s="7">
        <f t="shared" si="55"/>
        <v>184.5</v>
      </c>
      <c r="BA200" s="7">
        <f t="shared" si="55"/>
        <v>184.5</v>
      </c>
      <c r="BB200" s="7">
        <f t="shared" si="55"/>
        <v>184.5</v>
      </c>
      <c r="BC200" s="7">
        <f t="shared" si="55"/>
        <v>184.5</v>
      </c>
      <c r="BD200" s="7">
        <f t="shared" si="55"/>
        <v>115.5</v>
      </c>
      <c r="BE200" s="7">
        <f t="shared" si="55"/>
        <v>184.5</v>
      </c>
      <c r="BF200" s="7">
        <f t="shared" si="55"/>
        <v>184.5</v>
      </c>
      <c r="BG200" s="7">
        <f t="shared" si="55"/>
        <v>184.5</v>
      </c>
      <c r="BH200" s="7">
        <f t="shared" si="55"/>
        <v>184.5</v>
      </c>
      <c r="BI200" s="7">
        <f t="shared" si="55"/>
        <v>115.5</v>
      </c>
      <c r="BJ200" s="7">
        <f t="shared" si="55"/>
        <v>184.5</v>
      </c>
      <c r="BK200" s="7">
        <f t="shared" si="55"/>
        <v>184.5</v>
      </c>
      <c r="BL200" s="7">
        <f t="shared" si="55"/>
        <v>184.5</v>
      </c>
      <c r="BM200" s="7">
        <f t="shared" si="55"/>
        <v>184.5</v>
      </c>
      <c r="BN200" s="7">
        <f t="shared" si="55"/>
        <v>115.5</v>
      </c>
      <c r="BO200" s="7">
        <f t="shared" si="55"/>
        <v>184.5</v>
      </c>
      <c r="BP200" s="7">
        <f t="shared" si="55"/>
        <v>184.5</v>
      </c>
      <c r="BQ200" s="7">
        <f t="shared" si="55"/>
        <v>184.5</v>
      </c>
      <c r="BR200" s="7">
        <f t="shared" si="55"/>
        <v>184.5</v>
      </c>
      <c r="BS200" s="7">
        <f t="shared" si="55"/>
        <v>115.5</v>
      </c>
      <c r="BT200" s="7">
        <f t="shared" si="55"/>
        <v>184.5</v>
      </c>
      <c r="BU200" s="7">
        <f t="shared" si="55"/>
        <v>184.5</v>
      </c>
      <c r="BV200" s="7">
        <f t="shared" si="55"/>
        <v>184.5</v>
      </c>
      <c r="BW200" s="7">
        <f aca="true" t="shared" si="56" ref="BW200:DB200">SUM(BW193:BW197)-SUM(BW198:BW199)</f>
        <v>184.5</v>
      </c>
      <c r="BX200" s="7">
        <f t="shared" si="56"/>
        <v>115.5</v>
      </c>
      <c r="BY200" s="7">
        <f t="shared" si="56"/>
        <v>184.5</v>
      </c>
      <c r="BZ200" s="7">
        <f t="shared" si="56"/>
        <v>184.5</v>
      </c>
      <c r="CA200" s="7">
        <f t="shared" si="56"/>
        <v>184.5</v>
      </c>
      <c r="CB200" s="7">
        <f t="shared" si="56"/>
        <v>184.5</v>
      </c>
      <c r="CC200" s="7">
        <f t="shared" si="56"/>
        <v>115.5</v>
      </c>
      <c r="CD200" s="7">
        <f t="shared" si="56"/>
        <v>184.5</v>
      </c>
      <c r="CE200" s="7">
        <f t="shared" si="56"/>
        <v>184.5</v>
      </c>
      <c r="CF200" s="7">
        <f t="shared" si="56"/>
        <v>184.5</v>
      </c>
      <c r="CG200" s="7">
        <f t="shared" si="56"/>
        <v>184.5</v>
      </c>
      <c r="CH200" s="7">
        <f t="shared" si="56"/>
        <v>115.5</v>
      </c>
      <c r="CI200" s="7">
        <f t="shared" si="56"/>
        <v>184.5</v>
      </c>
      <c r="CJ200" s="7">
        <f t="shared" si="56"/>
        <v>184.5</v>
      </c>
      <c r="CK200" s="7">
        <f t="shared" si="56"/>
        <v>184.5</v>
      </c>
      <c r="CL200" s="7">
        <f t="shared" si="56"/>
        <v>184.5</v>
      </c>
      <c r="CM200" s="7">
        <f t="shared" si="56"/>
        <v>115.5</v>
      </c>
      <c r="CN200" s="7">
        <f t="shared" si="56"/>
        <v>184.5</v>
      </c>
      <c r="CO200" s="7">
        <f t="shared" si="56"/>
        <v>184.5</v>
      </c>
      <c r="CP200" s="7">
        <f t="shared" si="56"/>
        <v>184.5</v>
      </c>
      <c r="CQ200" s="7">
        <f t="shared" si="56"/>
        <v>184.5</v>
      </c>
      <c r="CR200" s="7">
        <f t="shared" si="56"/>
        <v>115.5</v>
      </c>
      <c r="CS200" s="7">
        <f t="shared" si="56"/>
        <v>184.5</v>
      </c>
      <c r="CT200" s="7">
        <f t="shared" si="56"/>
        <v>184.5</v>
      </c>
      <c r="CU200" s="7">
        <f t="shared" si="56"/>
        <v>184.5</v>
      </c>
      <c r="CV200" s="7">
        <f t="shared" si="56"/>
        <v>184.5</v>
      </c>
      <c r="CW200" s="7">
        <f t="shared" si="56"/>
        <v>115.5</v>
      </c>
      <c r="CX200" s="7">
        <f t="shared" si="56"/>
        <v>184.5</v>
      </c>
      <c r="CY200" s="7">
        <f t="shared" si="56"/>
        <v>184.5</v>
      </c>
      <c r="CZ200" s="7">
        <f t="shared" si="56"/>
        <v>184.5</v>
      </c>
      <c r="DA200" s="7">
        <f t="shared" si="56"/>
        <v>184.5</v>
      </c>
      <c r="DB200" s="7">
        <f t="shared" si="56"/>
        <v>115.5</v>
      </c>
      <c r="DC200" s="7">
        <f>SUM(DC193:DC197)-SUM(DC198:DC199)</f>
        <v>184.5</v>
      </c>
      <c r="DD200" s="7">
        <f>SUM(DD193:DD197)-SUM(DD198:DD199)</f>
        <v>184.5</v>
      </c>
      <c r="DE200" s="7">
        <f>SUM(DE193:DE197)-SUM(DE198:DE199)</f>
        <v>184.5</v>
      </c>
      <c r="DF200" s="7">
        <f>SUM(DF193:DF197)-SUM(DF198:DF199)</f>
        <v>184.5</v>
      </c>
    </row>
    <row r="201" spans="1:110" ht="21.75" customHeight="1">
      <c r="A201" s="245" t="s">
        <v>357</v>
      </c>
      <c r="B201" s="245"/>
      <c r="C201" s="245"/>
      <c r="D201" s="245"/>
      <c r="E201" s="245"/>
      <c r="F201" s="246"/>
      <c r="G201" s="247">
        <f>G184-G200</f>
        <v>3097.2796717457168</v>
      </c>
      <c r="H201" s="478"/>
      <c r="J201" s="216" t="s">
        <v>366</v>
      </c>
      <c r="K201" s="239"/>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row>
    <row r="202" spans="1:110" ht="25.5" customHeight="1">
      <c r="A202" s="940" t="s">
        <v>483</v>
      </c>
      <c r="B202" s="940"/>
      <c r="C202" s="940"/>
      <c r="D202" s="940"/>
      <c r="E202" s="940"/>
      <c r="F202" s="940"/>
      <c r="G202" s="940"/>
      <c r="H202" s="940"/>
      <c r="J202" s="240" t="s">
        <v>446</v>
      </c>
      <c r="K202" s="241"/>
      <c r="L202" s="242"/>
      <c r="M202" s="168" t="s">
        <v>368</v>
      </c>
      <c r="N202" s="169"/>
      <c r="O202" s="169"/>
      <c r="P202" s="193"/>
      <c r="Q202" s="169"/>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row>
    <row r="203" spans="1:110" ht="24.75" customHeight="1">
      <c r="A203" s="933" t="s">
        <v>390</v>
      </c>
      <c r="B203" s="933"/>
      <c r="C203" s="933"/>
      <c r="D203" s="933"/>
      <c r="E203" s="933"/>
      <c r="F203" s="933"/>
      <c r="G203" s="933"/>
      <c r="H203" s="933"/>
      <c r="J203" s="243" t="s">
        <v>466</v>
      </c>
      <c r="K203" s="244">
        <f>NPV('Farm and Buffer Assumptions'!D20,K200:AD200)</f>
        <v>1320.2612215094307</v>
      </c>
      <c r="L203" s="1"/>
      <c r="M203" s="176">
        <f>K193</f>
        <v>0</v>
      </c>
      <c r="N203" s="177" t="s">
        <v>332</v>
      </c>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row>
    <row r="204" spans="1:110" ht="41.25" customHeight="1">
      <c r="A204" s="933" t="s">
        <v>361</v>
      </c>
      <c r="B204" s="933"/>
      <c r="C204" s="933"/>
      <c r="D204" s="933"/>
      <c r="E204" s="933"/>
      <c r="F204" s="933"/>
      <c r="G204" s="933"/>
      <c r="H204" s="933"/>
      <c r="J204" s="243" t="s">
        <v>467</v>
      </c>
      <c r="K204" s="206">
        <f>NPV('Farm and Buffer Assumptions'!D20,K200:AN200)</f>
        <v>1948.0590792168223</v>
      </c>
      <c r="L204" s="1"/>
      <c r="M204" s="178">
        <f>NPV('Farm and Buffer Assumptions'!D20,K194:DF194)</f>
        <v>0</v>
      </c>
      <c r="N204" s="18" t="s">
        <v>458</v>
      </c>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row>
    <row r="205" spans="1:110" ht="37.5" customHeight="1">
      <c r="A205" s="933" t="s">
        <v>391</v>
      </c>
      <c r="B205" s="933"/>
      <c r="C205" s="933"/>
      <c r="D205" s="933"/>
      <c r="E205" s="933"/>
      <c r="F205" s="933"/>
      <c r="G205" s="933"/>
      <c r="H205" s="933"/>
      <c r="J205" s="243" t="s">
        <v>468</v>
      </c>
      <c r="K205" s="206">
        <f>NPV('Farm and Buffer Assumptions'!D20,K200:AX200)</f>
        <v>2372.1768171495337</v>
      </c>
      <c r="L205" s="1"/>
      <c r="M205" s="179">
        <f>NPV('Farm and Buffer Assumptions'!D20,K195:DF195)</f>
        <v>0</v>
      </c>
      <c r="N205" s="177" t="s">
        <v>336</v>
      </c>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row>
    <row r="206" spans="1:110" ht="19.5" customHeight="1">
      <c r="A206" s="933"/>
      <c r="B206" s="933"/>
      <c r="C206" s="933"/>
      <c r="D206" s="933"/>
      <c r="E206" s="933"/>
      <c r="F206" s="933"/>
      <c r="G206" s="933"/>
      <c r="H206" s="933"/>
      <c r="J206" s="243" t="s">
        <v>469</v>
      </c>
      <c r="K206" s="206">
        <f>NPV('Farm and Buffer Assumptions'!D20,K200:BH200)</f>
        <v>2658.6955642603243</v>
      </c>
      <c r="L206" s="1"/>
      <c r="M206" s="178">
        <f>K196</f>
        <v>0</v>
      </c>
      <c r="N206" s="177" t="s">
        <v>338</v>
      </c>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row>
    <row r="207" spans="1:110" ht="18.75" customHeight="1">
      <c r="A207" s="933" t="s">
        <v>477</v>
      </c>
      <c r="B207" s="933"/>
      <c r="C207" s="933"/>
      <c r="D207" s="933"/>
      <c r="E207" s="933"/>
      <c r="F207" s="933"/>
      <c r="G207" s="933"/>
      <c r="H207" s="933"/>
      <c r="J207" s="243" t="s">
        <v>470</v>
      </c>
      <c r="K207" s="206">
        <f>NPV('Farm and Buffer Assumptions'!D20,K200:BR200)</f>
        <v>2852.2573635052336</v>
      </c>
      <c r="L207" s="1"/>
      <c r="M207" s="179">
        <f>NPV('Farm and Buffer Assumptions'!D20,K197:DF197)</f>
        <v>9079.102128444802</v>
      </c>
      <c r="N207" s="182" t="s">
        <v>459</v>
      </c>
      <c r="O207" s="1"/>
      <c r="P207" s="1"/>
      <c r="Q207" s="1"/>
      <c r="R207" s="2">
        <f>SUM(M203:M207)</f>
        <v>9079.102128444802</v>
      </c>
      <c r="S207" s="2">
        <f>G184-R207</f>
        <v>183.39787155519844</v>
      </c>
      <c r="T207" s="10" t="s">
        <v>460</v>
      </c>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row>
    <row r="208" spans="8:110" ht="22.5" customHeight="1">
      <c r="H208" s="1"/>
      <c r="J208" s="243" t="s">
        <v>471</v>
      </c>
      <c r="K208" s="206">
        <f>NPV('Farm and Buffer Assumptions'!D20,K200:CB200)</f>
        <v>2983.020779528547</v>
      </c>
      <c r="L208" s="1"/>
      <c r="M208" s="181">
        <f>K198</f>
        <v>1109</v>
      </c>
      <c r="N208" s="182" t="s">
        <v>354</v>
      </c>
      <c r="O208" s="1"/>
      <c r="P208" s="1"/>
      <c r="Q208" s="1"/>
      <c r="R208" s="2">
        <f>SUM(M208:M209)</f>
        <v>5950.4005982498</v>
      </c>
      <c r="S208" s="248">
        <f>G200-R208</f>
        <v>214.81973000448306</v>
      </c>
      <c r="T208" s="10" t="s">
        <v>461</v>
      </c>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row>
    <row r="209" spans="8:110" ht="24.75" customHeight="1">
      <c r="H209" s="1"/>
      <c r="J209" s="243" t="s">
        <v>472</v>
      </c>
      <c r="K209" s="206">
        <f>NPV('Farm and Buffer Assumptions'!D20,K200:CL200)</f>
        <v>3071.359857987159</v>
      </c>
      <c r="L209" s="1"/>
      <c r="M209" s="178">
        <f>NPV('Farm and Buffer Assumptions'!D20,K199:DF199)</f>
        <v>4841.4005982498</v>
      </c>
      <c r="N209" t="s">
        <v>462</v>
      </c>
      <c r="O209" s="1"/>
      <c r="P209" s="1"/>
      <c r="Q209" s="1"/>
      <c r="R209" s="1"/>
      <c r="S209" s="2">
        <f>S207-S208</f>
        <v>-31.421858449284628</v>
      </c>
      <c r="T209" s="10" t="s">
        <v>463</v>
      </c>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row>
    <row r="210" spans="8:110" ht="28.5" customHeight="1">
      <c r="H210" s="1"/>
      <c r="J210" s="243" t="s">
        <v>473</v>
      </c>
      <c r="K210" s="206">
        <f>NPV('Farm and Buffer Assumptions'!D20,K200:CV200)</f>
        <v>3131.0385741008877</v>
      </c>
      <c r="L210" s="1"/>
      <c r="M210" s="227">
        <f>SUM(M203:M207)-SUM(M208:M209)</f>
        <v>3128.7015301950014</v>
      </c>
      <c r="N210" t="s">
        <v>358</v>
      </c>
      <c r="O210" s="1"/>
      <c r="P210" s="1"/>
      <c r="Q210" s="1"/>
      <c r="R210" s="1"/>
      <c r="S210" s="239">
        <f>G201-M210</f>
        <v>-31.421858449284628</v>
      </c>
      <c r="T210" s="10" t="s">
        <v>464</v>
      </c>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row>
    <row r="211" spans="8:110" ht="15.75">
      <c r="H211" s="1"/>
      <c r="J211" s="243" t="s">
        <v>474</v>
      </c>
      <c r="K211" s="206">
        <f>NPV('Farm and Buffer Assumptions'!D20,K200:DF200)</f>
        <v>3171.3553763488503</v>
      </c>
      <c r="L211" s="1"/>
      <c r="O211" s="1"/>
      <c r="P211" s="1"/>
      <c r="Q211" s="1"/>
      <c r="R211" s="1"/>
      <c r="S211" s="1"/>
      <c r="T211" s="10" t="s">
        <v>465</v>
      </c>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row>
    <row r="212" spans="8:110" ht="12.75">
      <c r="H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row>
    <row r="213" spans="8:110" ht="12.75">
      <c r="H213" s="1"/>
      <c r="J213" t="s">
        <v>360</v>
      </c>
      <c r="K213" s="188">
        <f>K211-G201</f>
        <v>74.07570460313354</v>
      </c>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row>
    <row r="214" spans="10:110" ht="12.75">
      <c r="J214" s="1"/>
      <c r="K214" s="1"/>
      <c r="L214" s="1"/>
      <c r="M214" s="1"/>
      <c r="N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row>
    <row r="215" ht="12.75">
      <c r="M215" s="1"/>
    </row>
  </sheetData>
  <sheetProtection/>
  <mergeCells count="34">
    <mergeCell ref="A204:H204"/>
    <mergeCell ref="A171:H171"/>
    <mergeCell ref="A172:H172"/>
    <mergeCell ref="A173:H173"/>
    <mergeCell ref="A174:H174"/>
    <mergeCell ref="A175:H175"/>
    <mergeCell ref="A137:H137"/>
    <mergeCell ref="A138:H138"/>
    <mergeCell ref="A202:H202"/>
    <mergeCell ref="A203:H203"/>
    <mergeCell ref="A21:H21"/>
    <mergeCell ref="A22:H22"/>
    <mergeCell ref="A23:H23"/>
    <mergeCell ref="A24:H24"/>
    <mergeCell ref="A205:H205"/>
    <mergeCell ref="A105:H105"/>
    <mergeCell ref="A77:H77"/>
    <mergeCell ref="A106:H106"/>
    <mergeCell ref="A107:H107"/>
    <mergeCell ref="A108:H108"/>
    <mergeCell ref="A109:H109"/>
    <mergeCell ref="A134:H134"/>
    <mergeCell ref="A135:H135"/>
    <mergeCell ref="A136:H136"/>
    <mergeCell ref="A46:H46"/>
    <mergeCell ref="A206:H206"/>
    <mergeCell ref="A207:H207"/>
    <mergeCell ref="A78:E78"/>
    <mergeCell ref="A80:E80"/>
    <mergeCell ref="A79:H79"/>
    <mergeCell ref="A81:H81"/>
    <mergeCell ref="A47:H47"/>
    <mergeCell ref="A48:H48"/>
    <mergeCell ref="A49:H49"/>
  </mergeCells>
  <printOptions headings="1" verticalCentered="1"/>
  <pageMargins left="0.5" right="0.5" top="0.5" bottom="0.5" header="0.5" footer="0.5"/>
  <pageSetup fitToHeight="1" fitToWidth="1" horizontalDpi="300" verticalDpi="300" orientation="landscape" scale="74" r:id="rId4"/>
  <headerFooter alignWithMargins="0">
    <oddHeader>&amp;LFile Name: &amp;F, Sheet Name: &amp;A&amp;R&amp;D, &amp;T</oddHeader>
    <oddFooter>&amp;RPrepared by:
Carolyn Henri
Resource Consulting</oddFooter>
  </headerFooter>
  <rowBreaks count="5" manualBreakCount="5">
    <brk id="25" max="7" man="1"/>
    <brk id="50" max="7" man="1"/>
    <brk id="81" max="7" man="1"/>
    <brk id="110" max="7" man="1"/>
    <brk id="139" max="7" man="1"/>
  </rowBreaks>
  <colBreaks count="1" manualBreakCount="1">
    <brk id="9" min="190" max="220" man="1"/>
  </colBreaks>
  <drawing r:id="rId3"/>
  <legacyDrawing r:id="rId2"/>
</worksheet>
</file>

<file path=xl/worksheets/sheet15.xml><?xml version="1.0" encoding="utf-8"?>
<worksheet xmlns="http://schemas.openxmlformats.org/spreadsheetml/2006/main" xmlns:r="http://schemas.openxmlformats.org/officeDocument/2006/relationships">
  <sheetPr codeName="Sheet10"/>
  <dimension ref="A2:V67"/>
  <sheetViews>
    <sheetView zoomScalePageLayoutView="0" workbookViewId="0" topLeftCell="A1">
      <selection activeCell="A1" sqref="A1"/>
    </sheetView>
  </sheetViews>
  <sheetFormatPr defaultColWidth="9.140625" defaultRowHeight="12.75"/>
  <cols>
    <col min="1" max="1" width="36.00390625" style="0" customWidth="1"/>
    <col min="2" max="2" width="17.28125" style="0" customWidth="1"/>
    <col min="3" max="21" width="9.7109375" style="0" customWidth="1"/>
    <col min="22" max="22" width="10.140625" style="0" bestFit="1" customWidth="1"/>
  </cols>
  <sheetData>
    <row r="2" ht="18">
      <c r="A2" s="430" t="s">
        <v>606</v>
      </c>
    </row>
    <row r="4" ht="12.75">
      <c r="A4" s="134" t="s">
        <v>607</v>
      </c>
    </row>
    <row r="5" spans="1:2" ht="12.75">
      <c r="A5" t="s">
        <v>608</v>
      </c>
      <c r="B5" t="s">
        <v>609</v>
      </c>
    </row>
    <row r="6" spans="1:2" ht="12.75">
      <c r="A6" t="s">
        <v>610</v>
      </c>
      <c r="B6" s="416">
        <v>90</v>
      </c>
    </row>
    <row r="7" spans="1:2" ht="12.75">
      <c r="A7" t="s">
        <v>611</v>
      </c>
      <c r="B7" s="416">
        <v>312</v>
      </c>
    </row>
    <row r="8" spans="1:2" ht="12.75">
      <c r="A8" t="s">
        <v>612</v>
      </c>
      <c r="B8" s="416">
        <v>407</v>
      </c>
    </row>
    <row r="10" ht="12.75">
      <c r="A10" s="134" t="s">
        <v>613</v>
      </c>
    </row>
    <row r="11" spans="1:2" ht="12.75">
      <c r="A11" t="s">
        <v>608</v>
      </c>
      <c r="B11" t="s">
        <v>614</v>
      </c>
    </row>
    <row r="12" spans="1:2" ht="12.75">
      <c r="A12" t="s">
        <v>615</v>
      </c>
      <c r="B12" s="416">
        <v>240</v>
      </c>
    </row>
    <row r="13" spans="1:2" ht="12.75">
      <c r="A13" t="s">
        <v>616</v>
      </c>
      <c r="B13" s="416">
        <v>1260</v>
      </c>
    </row>
    <row r="14" spans="1:2" ht="12.75">
      <c r="A14" t="s">
        <v>617</v>
      </c>
      <c r="B14" s="416">
        <v>1500</v>
      </c>
    </row>
    <row r="15" ht="12.75">
      <c r="B15" s="433"/>
    </row>
    <row r="16" spans="1:2" ht="12.75">
      <c r="A16" s="134" t="s">
        <v>646</v>
      </c>
      <c r="B16" s="433"/>
    </row>
    <row r="17" spans="1:2" ht="12.75">
      <c r="A17" t="s">
        <v>608</v>
      </c>
      <c r="B17" s="450" t="s">
        <v>614</v>
      </c>
    </row>
    <row r="18" spans="1:2" ht="12.75">
      <c r="A18" s="416" t="s">
        <v>647</v>
      </c>
      <c r="B18" s="416"/>
    </row>
    <row r="19" spans="1:2" ht="12.75">
      <c r="A19" s="416" t="s">
        <v>648</v>
      </c>
      <c r="B19" s="416"/>
    </row>
    <row r="20" spans="1:2" ht="12.75">
      <c r="A20" s="416" t="s">
        <v>649</v>
      </c>
      <c r="B20" s="416"/>
    </row>
    <row r="21" ht="12.75">
      <c r="B21" s="433"/>
    </row>
    <row r="22" ht="12.75">
      <c r="B22" s="433"/>
    </row>
    <row r="23" spans="1:2" ht="12.75">
      <c r="A23" s="134" t="s">
        <v>633</v>
      </c>
      <c r="B23" s="433"/>
    </row>
    <row r="24" spans="1:2" ht="12.75">
      <c r="A24" t="s">
        <v>632</v>
      </c>
      <c r="B24" s="432">
        <f>8900/2000</f>
        <v>4.45</v>
      </c>
    </row>
    <row r="25" spans="1:2" ht="12.75">
      <c r="A25" t="s">
        <v>627</v>
      </c>
      <c r="B25" s="432">
        <f>8216/2000</f>
        <v>4.108</v>
      </c>
    </row>
    <row r="26" spans="1:2" ht="12.75">
      <c r="A26" t="s">
        <v>650</v>
      </c>
      <c r="B26" s="416"/>
    </row>
    <row r="27" ht="22.5" customHeight="1">
      <c r="A27" s="415" t="s">
        <v>645</v>
      </c>
    </row>
    <row r="28" ht="16.5" customHeight="1">
      <c r="B28" t="s">
        <v>325</v>
      </c>
    </row>
    <row r="29" spans="2:22" s="417" customFormat="1" ht="12.75">
      <c r="B29" s="417">
        <v>0</v>
      </c>
      <c r="C29" s="417">
        <v>10</v>
      </c>
      <c r="D29" s="417">
        <v>15</v>
      </c>
      <c r="E29" s="417">
        <v>20</v>
      </c>
      <c r="F29" s="417">
        <v>25</v>
      </c>
      <c r="G29" s="417">
        <v>30</v>
      </c>
      <c r="H29" s="417">
        <v>35</v>
      </c>
      <c r="I29" s="417">
        <v>40</v>
      </c>
      <c r="J29" s="417">
        <v>45</v>
      </c>
      <c r="K29" s="417">
        <v>50</v>
      </c>
      <c r="L29" s="417">
        <v>55</v>
      </c>
      <c r="M29" s="417">
        <v>60</v>
      </c>
      <c r="N29" s="417">
        <v>65</v>
      </c>
      <c r="O29" s="417">
        <v>70</v>
      </c>
      <c r="P29" s="417">
        <v>75</v>
      </c>
      <c r="Q29" s="417">
        <v>80</v>
      </c>
      <c r="R29" s="417">
        <v>85</v>
      </c>
      <c r="S29" s="417">
        <v>90</v>
      </c>
      <c r="T29" s="417">
        <v>95</v>
      </c>
      <c r="U29" s="417">
        <v>100</v>
      </c>
      <c r="V29" s="417">
        <v>105</v>
      </c>
    </row>
    <row r="30" ht="12.75">
      <c r="A30" s="134" t="s">
        <v>218</v>
      </c>
    </row>
    <row r="31" spans="1:5" ht="12.75">
      <c r="A31" t="s">
        <v>385</v>
      </c>
      <c r="B31" s="451" t="s">
        <v>651</v>
      </c>
      <c r="E31" s="418"/>
    </row>
    <row r="32" spans="1:9" ht="12.75">
      <c r="A32" t="s">
        <v>618</v>
      </c>
      <c r="E32" s="418"/>
      <c r="I32" s="418"/>
    </row>
    <row r="33" spans="9:13" ht="12.75">
      <c r="I33" s="418"/>
      <c r="M33" s="418"/>
    </row>
    <row r="34" spans="9:13" ht="12.75">
      <c r="I34" s="419"/>
      <c r="M34" s="418"/>
    </row>
    <row r="35" spans="1:13" ht="12.75">
      <c r="A35" s="134" t="s">
        <v>619</v>
      </c>
      <c r="I35" s="419"/>
      <c r="M35" s="419"/>
    </row>
    <row r="36" spans="1:17" ht="12.75">
      <c r="A36" t="s">
        <v>385</v>
      </c>
      <c r="B36" s="451" t="s">
        <v>744</v>
      </c>
      <c r="E36" s="420"/>
      <c r="H36" s="420"/>
      <c r="M36" s="419"/>
      <c r="Q36" s="419"/>
    </row>
    <row r="37" spans="1:17" ht="12.75">
      <c r="A37" t="s">
        <v>620</v>
      </c>
      <c r="E37" s="420"/>
      <c r="H37" s="420"/>
      <c r="M37" s="350"/>
      <c r="O37" s="420"/>
      <c r="Q37" s="419"/>
    </row>
    <row r="38" spans="13:22" ht="12.75">
      <c r="M38" s="350"/>
      <c r="O38" s="420"/>
      <c r="Q38" s="350"/>
      <c r="V38" s="420"/>
    </row>
    <row r="39" spans="15:22" ht="12.75">
      <c r="O39" s="421"/>
      <c r="Q39" s="350"/>
      <c r="U39" s="350"/>
      <c r="V39" s="420"/>
    </row>
    <row r="40" spans="1:22" ht="12.75">
      <c r="A40" s="134" t="s">
        <v>650</v>
      </c>
      <c r="B40" s="451" t="s">
        <v>651</v>
      </c>
      <c r="O40" s="421"/>
      <c r="Q40" s="422"/>
      <c r="U40" s="350"/>
      <c r="V40" s="421"/>
    </row>
    <row r="41" spans="1:22" ht="12.75">
      <c r="A41" t="s">
        <v>385</v>
      </c>
      <c r="Q41" s="422"/>
      <c r="U41" s="422"/>
      <c r="V41" s="421"/>
    </row>
    <row r="42" spans="1:22" ht="12.75">
      <c r="A42" t="s">
        <v>620</v>
      </c>
      <c r="U42" s="422"/>
      <c r="V42" s="119"/>
    </row>
    <row r="43" spans="21:22" ht="12.75">
      <c r="U43" s="423"/>
      <c r="V43" s="119"/>
    </row>
    <row r="44" ht="12.75">
      <c r="U44" s="423"/>
    </row>
    <row r="45" ht="12.75">
      <c r="U45" s="423"/>
    </row>
    <row r="46" ht="12.75">
      <c r="U46" s="423"/>
    </row>
    <row r="47" ht="12.75">
      <c r="U47" s="423"/>
    </row>
    <row r="48" spans="1:21" s="424" customFormat="1" ht="15.75">
      <c r="A48" s="428" t="s">
        <v>621</v>
      </c>
      <c r="B48" s="428">
        <f>SUM(E48:V48)</f>
        <v>0</v>
      </c>
      <c r="E48" s="424">
        <f>E31*B6</f>
        <v>0</v>
      </c>
      <c r="I48" s="424">
        <f>I32*B7+I34*B6</f>
        <v>0</v>
      </c>
      <c r="M48" s="424">
        <f>M33*$B$8+M35*$B$7+M37*$B$6</f>
        <v>0</v>
      </c>
      <c r="Q48" s="424">
        <f>Q36*$B$8+Q38*$B$7+Q40*$B$6</f>
        <v>0</v>
      </c>
      <c r="U48" s="424">
        <f>U39*B8+U41*B7</f>
        <v>0</v>
      </c>
    </row>
    <row r="49" spans="1:22" s="425" customFormat="1" ht="15.75">
      <c r="A49" s="429" t="s">
        <v>622</v>
      </c>
      <c r="B49" s="429">
        <f>SUM(E49:V49)</f>
        <v>0</v>
      </c>
      <c r="H49" s="425">
        <f>H36*B12</f>
        <v>0</v>
      </c>
      <c r="O49" s="425">
        <f>O37*B13+O39*B12</f>
        <v>0</v>
      </c>
      <c r="V49" s="425">
        <f>V38*B14+V40*B13+V42*B12</f>
        <v>0</v>
      </c>
    </row>
    <row r="50" spans="1:2" s="453" customFormat="1" ht="15" customHeight="1" thickBot="1">
      <c r="A50" s="452" t="s">
        <v>652</v>
      </c>
      <c r="B50" s="452"/>
    </row>
    <row r="51" spans="1:21" s="426" customFormat="1" ht="12.75">
      <c r="A51" s="426" t="s">
        <v>623</v>
      </c>
      <c r="E51" s="426">
        <f>E48*'Buffer input prices'!$C$49/1000</f>
        <v>0</v>
      </c>
      <c r="I51" s="426">
        <f>I48*'Buffer input prices'!$C$49/1000</f>
        <v>0</v>
      </c>
      <c r="M51" s="426">
        <f>M48*'Buffer input prices'!$C$49/1000</f>
        <v>0</v>
      </c>
      <c r="Q51" s="426">
        <f>Q48*'Buffer input prices'!$C$49/1000</f>
        <v>0</v>
      </c>
      <c r="U51" s="426">
        <f>U48*'Buffer input prices'!$C$49/1000</f>
        <v>0</v>
      </c>
    </row>
    <row r="52" spans="1:22" s="425" customFormat="1" ht="12.75">
      <c r="A52" s="425" t="s">
        <v>624</v>
      </c>
      <c r="H52" s="425">
        <f>H49*'Buffer input prices'!$C$47/1000</f>
        <v>0</v>
      </c>
      <c r="O52" s="425">
        <f>O49*'Buffer input prices'!$C$47/1000</f>
        <v>0</v>
      </c>
      <c r="V52" s="425">
        <f>V49*'Buffer input prices'!$C$47/1000</f>
        <v>0</v>
      </c>
    </row>
    <row r="53" s="419" customFormat="1" ht="15" customHeight="1">
      <c r="A53" s="419" t="s">
        <v>653</v>
      </c>
    </row>
    <row r="55" spans="1:21" s="9" customFormat="1" ht="15.75">
      <c r="A55" s="427" t="s">
        <v>654</v>
      </c>
      <c r="B55" s="455">
        <f>SUM(C55:V55)</f>
        <v>0</v>
      </c>
      <c r="E55" s="9">
        <f>E51/(1+'Farm and Buffer Assumptions'!$D$20)^E29</f>
        <v>0</v>
      </c>
      <c r="I55" s="9">
        <f>I51/(1+'Farm and Buffer Assumptions'!$D$20)^I29</f>
        <v>0</v>
      </c>
      <c r="M55" s="9">
        <f>M51/(1+'Farm and Buffer Assumptions'!$D$20)^M29</f>
        <v>0</v>
      </c>
      <c r="Q55" s="9">
        <f>Q51/(1+'Farm and Buffer Assumptions'!$D$20)^Q29</f>
        <v>0</v>
      </c>
      <c r="U55" s="9">
        <f>U51/(1+'Farm and Buffer Assumptions'!$D$20)^U29</f>
        <v>0</v>
      </c>
    </row>
    <row r="56" spans="1:22" s="9" customFormat="1" ht="15.75">
      <c r="A56" s="427" t="s">
        <v>655</v>
      </c>
      <c r="B56" s="455">
        <f>SUM(C56:V56)</f>
        <v>0</v>
      </c>
      <c r="H56" s="9">
        <f>H52/(1+'Farm and Buffer Assumptions'!$D$20)^H29</f>
        <v>0</v>
      </c>
      <c r="O56" s="9">
        <f>O52/(1+'Farm and Buffer Assumptions'!$D$20)^O29</f>
        <v>0</v>
      </c>
      <c r="V56" s="9">
        <f>V52/(1+'Farm and Buffer Assumptions'!$D$20)^V29</f>
        <v>0</v>
      </c>
    </row>
    <row r="57" spans="1:2" ht="15.75">
      <c r="A57" s="415" t="s">
        <v>656</v>
      </c>
      <c r="B57" s="455">
        <f>SUM(C57:V57)</f>
        <v>0</v>
      </c>
    </row>
    <row r="58" ht="15.75">
      <c r="A58" s="415"/>
    </row>
    <row r="59" ht="12.75">
      <c r="A59" t="s">
        <v>628</v>
      </c>
    </row>
    <row r="60" ht="12.75">
      <c r="A60" t="s">
        <v>629</v>
      </c>
    </row>
    <row r="61" spans="1:21" s="424" customFormat="1" ht="15.75">
      <c r="A61" s="424" t="s">
        <v>630</v>
      </c>
      <c r="B61" s="428">
        <f>SUM(C61:V61)</f>
        <v>0</v>
      </c>
      <c r="E61" s="424">
        <f>E48/1000*$B$24</f>
        <v>0</v>
      </c>
      <c r="I61" s="424">
        <f>I48/1000*$B$24</f>
        <v>0</v>
      </c>
      <c r="M61" s="424">
        <f>M48/1000*$B$24</f>
        <v>0</v>
      </c>
      <c r="Q61" s="424">
        <f>Q48/1000*$B$24</f>
        <v>0</v>
      </c>
      <c r="U61" s="424">
        <f>U48/1000*$B$24</f>
        <v>0</v>
      </c>
    </row>
    <row r="62" spans="1:22" s="425" customFormat="1" ht="15.75">
      <c r="A62" s="425" t="s">
        <v>631</v>
      </c>
      <c r="B62" s="429">
        <f>SUM(C62:V62)</f>
        <v>0</v>
      </c>
      <c r="H62" s="425">
        <f>H49/1000*$B$25</f>
        <v>0</v>
      </c>
      <c r="O62" s="425">
        <f>O49/1000*$B$25</f>
        <v>0</v>
      </c>
      <c r="V62" s="425">
        <f>V49/1000*$B$25</f>
        <v>0</v>
      </c>
    </row>
    <row r="63" spans="1:22" s="9" customFormat="1" ht="12.75">
      <c r="A63" s="9" t="s">
        <v>634</v>
      </c>
      <c r="E63" s="9">
        <f>E61*'Buffer input prices'!$D$41</f>
        <v>0</v>
      </c>
      <c r="H63" s="9">
        <f>H62*'Buffer input prices'!$D$41</f>
        <v>0</v>
      </c>
      <c r="I63" s="9">
        <f>I61*'Buffer input prices'!$D$41</f>
        <v>0</v>
      </c>
      <c r="M63" s="9">
        <f>M61*'Buffer input prices'!$D$41</f>
        <v>0</v>
      </c>
      <c r="O63" s="9">
        <f>O62*'Buffer input prices'!$D$41</f>
        <v>0</v>
      </c>
      <c r="Q63" s="9">
        <f>Q61*'Buffer input prices'!$D$41</f>
        <v>0</v>
      </c>
      <c r="U63" s="9">
        <f>U61*'Buffer input prices'!$D$41</f>
        <v>0</v>
      </c>
      <c r="V63" s="9">
        <f>V62*'Buffer input prices'!$D$41</f>
        <v>0</v>
      </c>
    </row>
    <row r="64" spans="1:22" s="9" customFormat="1" ht="12.75">
      <c r="A64" s="9" t="s">
        <v>636</v>
      </c>
      <c r="E64" s="9">
        <f>E61*'Buffer input prices'!$D$43</f>
        <v>0</v>
      </c>
      <c r="H64" s="9">
        <f>H62*'Buffer input prices'!$D$43</f>
        <v>0</v>
      </c>
      <c r="I64" s="9">
        <f>I61*'Buffer input prices'!$D$43</f>
        <v>0</v>
      </c>
      <c r="M64" s="9">
        <f>M61*'Buffer input prices'!$D$43</f>
        <v>0</v>
      </c>
      <c r="O64" s="9">
        <f>O62*'Buffer input prices'!$D$43</f>
        <v>0</v>
      </c>
      <c r="Q64" s="9">
        <f>Q61*'Buffer input prices'!$D$43</f>
        <v>0</v>
      </c>
      <c r="U64" s="9">
        <f>U61*'Buffer input prices'!$D$43</f>
        <v>0</v>
      </c>
      <c r="V64" s="9">
        <f>V62*'Buffer input prices'!$D$43</f>
        <v>0</v>
      </c>
    </row>
    <row r="66" spans="1:22" s="9" customFormat="1" ht="15.75">
      <c r="A66" s="427" t="s">
        <v>657</v>
      </c>
      <c r="B66" s="456">
        <f>SUM(C66:V66)</f>
        <v>0</v>
      </c>
      <c r="E66" s="9">
        <f>E63/(1+'Farm and Buffer Assumptions'!$D$20)^E29</f>
        <v>0</v>
      </c>
      <c r="H66" s="9">
        <f>H63/(1+'Farm and Buffer Assumptions'!$D$20)^H29</f>
        <v>0</v>
      </c>
      <c r="I66" s="9">
        <f>I63/(1+'Farm and Buffer Assumptions'!$D$20)^I29</f>
        <v>0</v>
      </c>
      <c r="M66" s="9">
        <f>M63/(1+'Farm and Buffer Assumptions'!$D$20)^M29</f>
        <v>0</v>
      </c>
      <c r="O66" s="9">
        <f>O63/(1+'Farm and Buffer Assumptions'!$D$20)^O29</f>
        <v>0</v>
      </c>
      <c r="Q66" s="9">
        <f>Q63/(1+'Farm and Buffer Assumptions'!$D$20)^Q29</f>
        <v>0</v>
      </c>
      <c r="U66" s="9">
        <f>U63/(1+'Farm and Buffer Assumptions'!$D$20)^U29</f>
        <v>0</v>
      </c>
      <c r="V66" s="9">
        <f>V63/(1+'Farm and Buffer Assumptions'!$D$20)^V29</f>
        <v>0</v>
      </c>
    </row>
    <row r="67" spans="1:22" s="9" customFormat="1" ht="15.75">
      <c r="A67" s="427" t="s">
        <v>658</v>
      </c>
      <c r="B67" s="456">
        <f>SUM(C67:V67)</f>
        <v>0</v>
      </c>
      <c r="E67" s="9">
        <f>E64/(1+'Farm and Buffer Assumptions'!$D$20)^E29</f>
        <v>0</v>
      </c>
      <c r="H67" s="9">
        <f>H64/(1+'Farm and Buffer Assumptions'!$D$20)^H29</f>
        <v>0</v>
      </c>
      <c r="I67" s="9">
        <f>I64/(1+'Farm and Buffer Assumptions'!$D$20)^I29</f>
        <v>0</v>
      </c>
      <c r="M67" s="9">
        <f>M64/(1+'Farm and Buffer Assumptions'!$D$20)^M29</f>
        <v>0</v>
      </c>
      <c r="O67" s="9">
        <f>O64/(1+'Farm and Buffer Assumptions'!$D$20)^O29</f>
        <v>0</v>
      </c>
      <c r="Q67" s="9">
        <f>Q64/(1+'Farm and Buffer Assumptions'!$D$20)^Q29</f>
        <v>0</v>
      </c>
      <c r="U67" s="9">
        <f>U64/(1+'Farm and Buffer Assumptions'!$D$20)^U29</f>
        <v>0</v>
      </c>
      <c r="V67" s="9">
        <f>V64/(1+'Farm and Buffer Assumptions'!$D$20)^V29</f>
        <v>0</v>
      </c>
    </row>
  </sheetData>
  <sheetProtection/>
  <printOptions/>
  <pageMargins left="0.75" right="0.75" top="1" bottom="1" header="0.5" footer="0.5"/>
  <pageSetup orientation="portrait" r:id="rId3"/>
  <legacyDrawing r:id="rId2"/>
</worksheet>
</file>

<file path=xl/worksheets/sheet16.xml><?xml version="1.0" encoding="utf-8"?>
<worksheet xmlns="http://schemas.openxmlformats.org/spreadsheetml/2006/main" xmlns:r="http://schemas.openxmlformats.org/officeDocument/2006/relationships">
  <sheetPr codeName="Sheet22"/>
  <dimension ref="A5:A14"/>
  <sheetViews>
    <sheetView zoomScalePageLayoutView="0" workbookViewId="0" topLeftCell="A1">
      <selection activeCell="A1" sqref="A1"/>
    </sheetView>
  </sheetViews>
  <sheetFormatPr defaultColWidth="9.140625" defaultRowHeight="12.75"/>
  <sheetData>
    <row r="5" ht="12.75">
      <c r="A5" t="s">
        <v>677</v>
      </c>
    </row>
    <row r="7" ht="12.75">
      <c r="A7" t="s">
        <v>745</v>
      </c>
    </row>
    <row r="9" ht="12.75">
      <c r="A9" t="s">
        <v>771</v>
      </c>
    </row>
    <row r="11" ht="12.75">
      <c r="A11" t="s">
        <v>789</v>
      </c>
    </row>
    <row r="13" ht="12.75">
      <c r="A13" t="s">
        <v>23</v>
      </c>
    </row>
    <row r="14" ht="12.75">
      <c r="A14" t="s">
        <v>24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G43"/>
  <sheetViews>
    <sheetView zoomScalePageLayoutView="0" workbookViewId="0" topLeftCell="A1">
      <selection activeCell="A1" sqref="A1:E1"/>
    </sheetView>
  </sheetViews>
  <sheetFormatPr defaultColWidth="9.140625" defaultRowHeight="12.75"/>
  <cols>
    <col min="1" max="1" width="40.57421875" style="0" customWidth="1"/>
    <col min="2" max="2" width="11.28125" style="0" customWidth="1"/>
    <col min="3" max="4" width="12.57421875" style="0" customWidth="1"/>
    <col min="5" max="5" width="12.00390625" style="0" customWidth="1"/>
    <col min="6" max="6" width="10.00390625" style="0" customWidth="1"/>
    <col min="7" max="7" width="88.57421875" style="0" customWidth="1"/>
  </cols>
  <sheetData>
    <row r="1" spans="1:7" ht="57" customHeight="1" thickBot="1">
      <c r="A1" s="878" t="s">
        <v>669</v>
      </c>
      <c r="B1" s="879"/>
      <c r="C1" s="879"/>
      <c r="D1" s="879"/>
      <c r="E1" s="879"/>
      <c r="G1" s="392" t="s">
        <v>593</v>
      </c>
    </row>
    <row r="2" spans="1:7" ht="25.5" customHeight="1">
      <c r="A2" s="880" t="s">
        <v>674</v>
      </c>
      <c r="B2" s="372" t="s">
        <v>584</v>
      </c>
      <c r="C2" s="372" t="s">
        <v>585</v>
      </c>
      <c r="D2" s="372" t="s">
        <v>671</v>
      </c>
      <c r="E2" s="372" t="s">
        <v>122</v>
      </c>
      <c r="G2" s="488" t="s">
        <v>664</v>
      </c>
    </row>
    <row r="3" spans="1:7" ht="21" customHeight="1" thickBot="1">
      <c r="A3" s="881"/>
      <c r="B3" s="373" t="s">
        <v>583</v>
      </c>
      <c r="C3" s="373" t="s">
        <v>583</v>
      </c>
      <c r="D3" s="373" t="s">
        <v>199</v>
      </c>
      <c r="E3" s="373" t="s">
        <v>199</v>
      </c>
      <c r="G3" s="14"/>
    </row>
    <row r="4" spans="1:7" ht="21" customHeight="1">
      <c r="A4" s="366" t="s">
        <v>580</v>
      </c>
      <c r="B4" s="858">
        <f>'Annual Budget w.o. Buffer'!B8</f>
        <v>17</v>
      </c>
      <c r="C4" s="859">
        <f>'Annual Budget w. Buffer'!B8</f>
        <v>13.556473829201103</v>
      </c>
      <c r="D4" s="860">
        <f aca="true" t="shared" si="0" ref="D4:D9">C4-B4</f>
        <v>-3.443526170798897</v>
      </c>
      <c r="E4" s="485">
        <f>C4/B4-1</f>
        <v>-0.20256036298817037</v>
      </c>
      <c r="G4" s="14"/>
    </row>
    <row r="5" spans="1:7" ht="21" customHeight="1">
      <c r="A5" s="367" t="s">
        <v>22</v>
      </c>
      <c r="B5" s="368">
        <f>'Annual Budget w.o. Buffer'!B24</f>
        <v>70720</v>
      </c>
      <c r="C5" s="369">
        <f>'Annual Budget w. Buffer'!B24</f>
        <v>56394.93112947659</v>
      </c>
      <c r="D5" s="483">
        <f t="shared" si="0"/>
        <v>-14325.068870523413</v>
      </c>
      <c r="E5" s="484">
        <f>C5/B5-1</f>
        <v>-0.20256036298817048</v>
      </c>
      <c r="G5" s="14"/>
    </row>
    <row r="6" spans="1:7" ht="21" customHeight="1">
      <c r="A6" s="367" t="s">
        <v>570</v>
      </c>
      <c r="B6" s="368">
        <f>'Annual Budget w.o. Buffer'!B31+'Annual Budget w.o. Buffer'!B34</f>
        <v>46718.08332571429</v>
      </c>
      <c r="C6" s="369">
        <f>'Annual Budget w. Buffer'!B31+'Annual Budget w. Buffer'!B33</f>
        <v>34414.293898433694</v>
      </c>
      <c r="D6" s="483">
        <f t="shared" si="0"/>
        <v>-12303.789427280593</v>
      </c>
      <c r="E6" s="484">
        <f>C6/B6-1</f>
        <v>-0.26336246162967936</v>
      </c>
      <c r="G6" s="14"/>
    </row>
    <row r="7" spans="1:7" ht="21" customHeight="1">
      <c r="A7" s="367" t="s">
        <v>571</v>
      </c>
      <c r="B7" s="368">
        <f>'Annual Budget w.o. Buffer'!B42</f>
        <v>7431.75414518321</v>
      </c>
      <c r="C7" s="369">
        <f>'Annual Budget w. Buffer'!B42</f>
        <v>7431.75414518321</v>
      </c>
      <c r="D7" s="483">
        <f t="shared" si="0"/>
        <v>0</v>
      </c>
      <c r="E7" s="484">
        <f>C7/B7-1</f>
        <v>0</v>
      </c>
      <c r="G7" s="14"/>
    </row>
    <row r="8" spans="1:7" ht="24" customHeight="1">
      <c r="A8" s="367" t="s">
        <v>577</v>
      </c>
      <c r="B8" s="368">
        <f>'Annual Budget w.o. Buffer'!B47+'Annual Budget w.o. Buffer'!B48</f>
        <v>6850.400000000001</v>
      </c>
      <c r="C8" s="369">
        <f>'Annual Budget w. Buffer'!B47+'Annual Budget w. Buffer'!B48</f>
        <v>5847.645179063362</v>
      </c>
      <c r="D8" s="483">
        <f t="shared" si="0"/>
        <v>-1002.7548209366387</v>
      </c>
      <c r="E8" s="484">
        <f>C8/B8-1</f>
        <v>-0.14637901742038983</v>
      </c>
      <c r="G8" s="14"/>
    </row>
    <row r="9" spans="1:7" ht="21" customHeight="1">
      <c r="A9" s="367" t="s">
        <v>572</v>
      </c>
      <c r="B9" s="370">
        <f>'Annual Budget w.o. Buffer'!B50</f>
        <v>9719.762529102503</v>
      </c>
      <c r="C9" s="371">
        <f>'Annual Budget w. Buffer'!B50</f>
        <v>5860.680396084012</v>
      </c>
      <c r="D9" s="483">
        <f t="shared" si="0"/>
        <v>-3859.0821330184917</v>
      </c>
      <c r="E9" s="484">
        <f>IF(B9&lt;0,-(C9/B9-1),C9/B9-1)</f>
        <v>-0.3970346108213848</v>
      </c>
      <c r="G9" s="489"/>
    </row>
    <row r="10" spans="1:7" ht="21" customHeight="1">
      <c r="A10" s="367" t="s">
        <v>573</v>
      </c>
      <c r="B10" s="370">
        <f>B9/B4</f>
        <v>571.7507370060296</v>
      </c>
      <c r="C10" s="371">
        <f>C9/C4</f>
        <v>432.31598938803006</v>
      </c>
      <c r="D10" s="483">
        <f>C10-B10</f>
        <v>-139.4347476179995</v>
      </c>
      <c r="E10" s="484">
        <f>IF(B10&lt;0,-(C10/B10-1),C10/B10-1)</f>
        <v>-0.2438733150536001</v>
      </c>
      <c r="G10" s="489"/>
    </row>
    <row r="11" ht="21" customHeight="1">
      <c r="G11" s="489"/>
    </row>
    <row r="12" spans="1:7" ht="21" customHeight="1">
      <c r="A12" s="877" t="s">
        <v>863</v>
      </c>
      <c r="B12" s="368"/>
      <c r="C12" s="369"/>
      <c r="D12" s="483"/>
      <c r="E12" s="484"/>
      <c r="G12" s="490" t="s">
        <v>665</v>
      </c>
    </row>
    <row r="13" spans="1:7" ht="21" customHeight="1">
      <c r="A13" s="367" t="s">
        <v>864</v>
      </c>
      <c r="B13" s="368">
        <f>'Annual Budget w.o. Buffer'!B57</f>
        <v>557.4661840688617</v>
      </c>
      <c r="C13" s="369">
        <f>'Annual Budget w. Buffer'!B57</f>
        <v>421.5150577297079</v>
      </c>
      <c r="D13" s="486">
        <f>C13-B13</f>
        <v>-135.9511263391538</v>
      </c>
      <c r="E13" s="484">
        <f>C13/B13-1</f>
        <v>-0.24387331505360021</v>
      </c>
      <c r="G13" s="491"/>
    </row>
    <row r="14" spans="1:7" ht="21" customHeight="1">
      <c r="A14" s="367" t="s">
        <v>865</v>
      </c>
      <c r="B14" s="368">
        <f>B13*B4</f>
        <v>9476.92512917065</v>
      </c>
      <c r="C14" s="368">
        <f>C13*C4</f>
        <v>5714.2578487269775</v>
      </c>
      <c r="D14" s="486">
        <f>C14-B14</f>
        <v>-3762.667280443672</v>
      </c>
      <c r="E14" s="484">
        <f>C14/B14-1</f>
        <v>-0.3970346108213849</v>
      </c>
      <c r="G14" s="491"/>
    </row>
    <row r="15" spans="1:7" ht="21" customHeight="1">
      <c r="A15" s="365" t="s">
        <v>578</v>
      </c>
      <c r="G15" s="489"/>
    </row>
    <row r="16" spans="1:7" ht="21" customHeight="1">
      <c r="A16" s="366" t="s">
        <v>581</v>
      </c>
      <c r="B16" s="500">
        <f>'Buffer Builder'!B94</f>
        <v>3.443526170798898</v>
      </c>
      <c r="C16" s="9"/>
      <c r="D16" s="9"/>
      <c r="E16" s="361"/>
      <c r="G16" s="489"/>
    </row>
    <row r="17" spans="1:7" ht="21" customHeight="1">
      <c r="A17" s="367" t="s">
        <v>675</v>
      </c>
      <c r="B17" s="486">
        <f>'Buffer Builder'!C144</f>
        <v>-41834.79260231517</v>
      </c>
      <c r="G17" s="489"/>
    </row>
    <row r="18" spans="1:7" ht="21" customHeight="1">
      <c r="A18" s="482" t="s">
        <v>676</v>
      </c>
      <c r="B18" s="486">
        <f>'Buffer Builder'!B152</f>
        <v>-3762.667280443672</v>
      </c>
      <c r="G18" s="492" t="s">
        <v>666</v>
      </c>
    </row>
    <row r="19" spans="1:7" ht="21" customHeight="1">
      <c r="A19" s="367" t="s">
        <v>670</v>
      </c>
      <c r="B19" s="486">
        <f>'Buffer Builder'!C145</f>
        <v>-12148.823771712325</v>
      </c>
      <c r="G19" s="14"/>
    </row>
    <row r="20" spans="1:7" ht="21" customHeight="1">
      <c r="A20" t="s">
        <v>579</v>
      </c>
      <c r="G20" s="14"/>
    </row>
    <row r="21" spans="1:7" ht="21" customHeight="1">
      <c r="A21" t="s">
        <v>582</v>
      </c>
      <c r="G21" s="14"/>
    </row>
    <row r="22" ht="21" customHeight="1">
      <c r="G22" s="14"/>
    </row>
    <row r="23" ht="21" customHeight="1">
      <c r="G23" s="490" t="s">
        <v>667</v>
      </c>
    </row>
    <row r="24" ht="21" customHeight="1">
      <c r="G24" s="491"/>
    </row>
    <row r="25" spans="1:7" ht="21" customHeight="1">
      <c r="A25" s="144" t="s">
        <v>358</v>
      </c>
      <c r="B25" s="364">
        <f>B5-SUM(B6:B8)</f>
        <v>9719.762529102503</v>
      </c>
      <c r="C25" s="364">
        <f>C5-SUM(C6:C8)</f>
        <v>8701.237906796327</v>
      </c>
      <c r="D25" s="364"/>
      <c r="G25" s="491"/>
    </row>
    <row r="26" ht="21" customHeight="1" hidden="1">
      <c r="G26" s="491"/>
    </row>
    <row r="27" ht="21" customHeight="1">
      <c r="G27" s="493" t="s">
        <v>661</v>
      </c>
    </row>
    <row r="28" ht="21" customHeight="1">
      <c r="G28" s="494"/>
    </row>
    <row r="29" ht="15" customHeight="1">
      <c r="G29" s="494"/>
    </row>
    <row r="30" ht="21" customHeight="1" hidden="1">
      <c r="G30" s="494"/>
    </row>
    <row r="31" ht="21" customHeight="1" hidden="1">
      <c r="G31" s="494"/>
    </row>
    <row r="32" ht="21" customHeight="1" hidden="1">
      <c r="G32" s="494"/>
    </row>
    <row r="33" ht="32.25" customHeight="1">
      <c r="G33" s="495" t="s">
        <v>599</v>
      </c>
    </row>
    <row r="34" ht="21" customHeight="1">
      <c r="G34" s="490" t="s">
        <v>668</v>
      </c>
    </row>
    <row r="35" ht="18" customHeight="1">
      <c r="G35" s="491"/>
    </row>
    <row r="36" ht="18" customHeight="1">
      <c r="G36" s="491"/>
    </row>
    <row r="37" ht="18" customHeight="1">
      <c r="G37" s="491"/>
    </row>
    <row r="38" ht="18" customHeight="1">
      <c r="G38" s="491"/>
    </row>
    <row r="39" ht="18" customHeight="1">
      <c r="G39" s="491"/>
    </row>
    <row r="40" ht="12.75">
      <c r="G40" s="295"/>
    </row>
    <row r="41" ht="12.75">
      <c r="G41" s="295"/>
    </row>
    <row r="42" ht="12.75">
      <c r="G42" s="295"/>
    </row>
    <row r="43" ht="12.75">
      <c r="G43" s="496"/>
    </row>
  </sheetData>
  <sheetProtection/>
  <mergeCells count="2">
    <mergeCell ref="A1:E1"/>
    <mergeCell ref="A2:A3"/>
  </mergeCells>
  <printOptions horizontalCentered="1" verticalCentered="1"/>
  <pageMargins left="0.5" right="0.5" top="0.77" bottom="0.82" header="0.5" footer="0.46"/>
  <pageSetup fitToWidth="2" orientation="landscape" scale="62" r:id="rId4"/>
  <headerFooter alignWithMargins="0">
    <oddHeader>&amp;LFile Name: &amp;F, &amp;A&amp;R&amp;D, &amp;T</oddHeader>
    <oddFooter>&amp;LPrepared by:
Resource Consulting</oddFooter>
  </headerFooter>
  <colBreaks count="1" manualBreakCount="1">
    <brk id="7" max="41" man="1"/>
  </colBreaks>
  <drawing r:id="rId3"/>
  <legacyDrawing r:id="rId2"/>
</worksheet>
</file>

<file path=xl/worksheets/sheet3.xml><?xml version="1.0" encoding="utf-8"?>
<worksheet xmlns="http://schemas.openxmlformats.org/spreadsheetml/2006/main" xmlns:r="http://schemas.openxmlformats.org/officeDocument/2006/relationships">
  <sheetPr codeName="Sheet3"/>
  <dimension ref="B1:E76"/>
  <sheetViews>
    <sheetView zoomScalePageLayoutView="0" workbookViewId="0" topLeftCell="A1">
      <selection activeCell="A1" sqref="A1"/>
    </sheetView>
  </sheetViews>
  <sheetFormatPr defaultColWidth="9.140625" defaultRowHeight="12.75"/>
  <cols>
    <col min="1" max="1" width="5.28125" style="20" customWidth="1"/>
    <col min="2" max="2" width="67.7109375" style="0" customWidth="1"/>
    <col min="3" max="3" width="13.7109375" style="0" customWidth="1"/>
    <col min="5" max="5" width="47.28125" style="1" customWidth="1"/>
    <col min="7" max="16384" width="9.140625" style="20" customWidth="1"/>
  </cols>
  <sheetData>
    <row r="1" ht="26.25" customHeight="1">
      <c r="B1" s="308" t="s">
        <v>114</v>
      </c>
    </row>
    <row r="2" ht="13.5" thickBot="1"/>
    <row r="3" spans="2:5" ht="22.5" customHeight="1">
      <c r="B3" s="98" t="s">
        <v>273</v>
      </c>
      <c r="C3" s="98" t="s">
        <v>83</v>
      </c>
      <c r="D3" s="98" t="s">
        <v>85</v>
      </c>
      <c r="E3" s="98" t="s">
        <v>115</v>
      </c>
    </row>
    <row r="4" spans="2:5" ht="18" customHeight="1">
      <c r="B4" s="97" t="s">
        <v>274</v>
      </c>
      <c r="C4" s="97" t="s">
        <v>275</v>
      </c>
      <c r="D4" s="123">
        <v>0.07</v>
      </c>
      <c r="E4" s="96" t="s">
        <v>574</v>
      </c>
    </row>
    <row r="5" spans="2:5" ht="18" customHeight="1">
      <c r="B5" s="102" t="s">
        <v>282</v>
      </c>
      <c r="C5" s="97" t="s">
        <v>122</v>
      </c>
      <c r="D5" s="123">
        <v>0</v>
      </c>
      <c r="E5" s="96"/>
    </row>
    <row r="6" spans="2:5" ht="18" customHeight="1">
      <c r="B6" s="102" t="s">
        <v>285</v>
      </c>
      <c r="C6" s="102" t="s">
        <v>286</v>
      </c>
      <c r="D6" s="124">
        <v>1.15</v>
      </c>
      <c r="E6" s="103"/>
    </row>
    <row r="7" spans="2:5" ht="18" customHeight="1">
      <c r="B7" s="102" t="s">
        <v>257</v>
      </c>
      <c r="C7" s="102" t="s">
        <v>792</v>
      </c>
      <c r="D7" s="124">
        <v>10.5</v>
      </c>
      <c r="E7" s="103"/>
    </row>
    <row r="8" spans="2:5" ht="18" customHeight="1" thickBot="1">
      <c r="B8" s="21"/>
      <c r="C8" s="21"/>
      <c r="D8" s="99"/>
      <c r="E8" s="22"/>
    </row>
    <row r="9" spans="2:5" ht="18" customHeight="1" thickBot="1">
      <c r="B9" s="301" t="s">
        <v>116</v>
      </c>
      <c r="C9" s="11" t="s">
        <v>83</v>
      </c>
      <c r="D9" s="11" t="s">
        <v>85</v>
      </c>
      <c r="E9" s="11" t="s">
        <v>115</v>
      </c>
    </row>
    <row r="10" spans="2:5" ht="18" customHeight="1">
      <c r="B10" s="30" t="s">
        <v>117</v>
      </c>
      <c r="C10" s="31" t="s">
        <v>118</v>
      </c>
      <c r="D10" s="125">
        <v>22</v>
      </c>
      <c r="E10" s="32"/>
    </row>
    <row r="11" spans="2:5" ht="18" customHeight="1">
      <c r="B11" s="30" t="s">
        <v>119</v>
      </c>
      <c r="C11" s="31" t="s">
        <v>118</v>
      </c>
      <c r="D11" s="125">
        <v>10</v>
      </c>
      <c r="E11" s="32"/>
    </row>
    <row r="12" spans="2:5" ht="18" customHeight="1">
      <c r="B12" s="33" t="s">
        <v>120</v>
      </c>
      <c r="C12" s="34" t="s">
        <v>118</v>
      </c>
      <c r="D12" s="126">
        <v>10</v>
      </c>
      <c r="E12" s="27"/>
    </row>
    <row r="13" spans="2:5" ht="18" customHeight="1">
      <c r="B13" s="33" t="s">
        <v>121</v>
      </c>
      <c r="C13" s="34" t="s">
        <v>122</v>
      </c>
      <c r="D13" s="127">
        <v>0.0128505</v>
      </c>
      <c r="E13" s="848"/>
    </row>
    <row r="14" spans="2:5" ht="18" customHeight="1">
      <c r="B14" s="25" t="s">
        <v>123</v>
      </c>
      <c r="C14" s="26" t="s">
        <v>122</v>
      </c>
      <c r="D14" s="118">
        <v>0.05</v>
      </c>
      <c r="E14" s="27"/>
    </row>
    <row r="15" spans="2:5" ht="18" customHeight="1">
      <c r="B15" s="46" t="s">
        <v>283</v>
      </c>
      <c r="C15" s="122" t="s">
        <v>122</v>
      </c>
      <c r="D15" s="128">
        <v>0.05</v>
      </c>
      <c r="E15" s="27"/>
    </row>
    <row r="16" spans="2:5" ht="18" customHeight="1">
      <c r="B16" s="35" t="s">
        <v>124</v>
      </c>
      <c r="C16" s="28" t="s">
        <v>122</v>
      </c>
      <c r="D16" s="129">
        <v>0.008</v>
      </c>
      <c r="E16" s="29"/>
    </row>
    <row r="17" spans="2:5" ht="12.75">
      <c r="B17" s="36"/>
      <c r="C17" s="21"/>
      <c r="D17" s="37"/>
      <c r="E17" s="22"/>
    </row>
    <row r="18" spans="2:5" ht="27.75" customHeight="1" thickBot="1">
      <c r="B18" s="131" t="s">
        <v>125</v>
      </c>
      <c r="C18" s="21"/>
      <c r="D18" s="21"/>
      <c r="E18" s="22"/>
    </row>
    <row r="19" spans="2:5" ht="21.75" customHeight="1" thickBot="1">
      <c r="B19" s="11" t="s">
        <v>126</v>
      </c>
      <c r="C19" s="38" t="s">
        <v>83</v>
      </c>
      <c r="D19" s="11" t="s">
        <v>85</v>
      </c>
      <c r="E19" s="11" t="s">
        <v>115</v>
      </c>
    </row>
    <row r="20" spans="2:5" ht="26.25" customHeight="1">
      <c r="B20" s="39" t="s">
        <v>587</v>
      </c>
      <c r="C20" s="23" t="s">
        <v>122</v>
      </c>
      <c r="D20" s="254">
        <v>0.04</v>
      </c>
      <c r="E20" s="24" t="s">
        <v>770</v>
      </c>
    </row>
    <row r="21" spans="2:5" ht="26.25" customHeight="1">
      <c r="B21" s="25" t="s">
        <v>127</v>
      </c>
      <c r="C21" s="26" t="s">
        <v>524</v>
      </c>
      <c r="D21" s="255">
        <v>2.4</v>
      </c>
      <c r="E21" s="27" t="s">
        <v>4</v>
      </c>
    </row>
    <row r="22" spans="2:5" ht="26.25" customHeight="1">
      <c r="B22" s="25" t="s">
        <v>525</v>
      </c>
      <c r="C22" s="26" t="s">
        <v>524</v>
      </c>
      <c r="D22" s="256">
        <v>13</v>
      </c>
      <c r="E22" s="27" t="s">
        <v>561</v>
      </c>
    </row>
    <row r="23" spans="2:5" ht="26.25" customHeight="1">
      <c r="B23" s="25" t="s">
        <v>526</v>
      </c>
      <c r="C23" s="26" t="s">
        <v>128</v>
      </c>
      <c r="D23" s="257">
        <v>4</v>
      </c>
      <c r="E23" s="27" t="s">
        <v>129</v>
      </c>
    </row>
    <row r="24" spans="2:5" ht="19.5" customHeight="1">
      <c r="B24" s="25" t="s">
        <v>644</v>
      </c>
      <c r="C24" s="26" t="s">
        <v>595</v>
      </c>
      <c r="D24" s="257">
        <v>100</v>
      </c>
      <c r="E24" s="27" t="s">
        <v>596</v>
      </c>
    </row>
    <row r="25" spans="2:5" ht="26.25" customHeight="1">
      <c r="B25" s="25" t="s">
        <v>527</v>
      </c>
      <c r="C25" s="26" t="s">
        <v>130</v>
      </c>
      <c r="D25" s="256">
        <v>500</v>
      </c>
      <c r="E25" s="27" t="s">
        <v>528</v>
      </c>
    </row>
    <row r="26" spans="2:5" ht="41.25" customHeight="1">
      <c r="B26" s="454" t="s">
        <v>659</v>
      </c>
      <c r="C26" s="45" t="s">
        <v>140</v>
      </c>
      <c r="D26" s="256">
        <v>0</v>
      </c>
      <c r="E26" s="27" t="s">
        <v>660</v>
      </c>
    </row>
    <row r="27" spans="2:5" ht="26.25" customHeight="1">
      <c r="B27" s="25" t="s">
        <v>529</v>
      </c>
      <c r="C27" s="45" t="s">
        <v>140</v>
      </c>
      <c r="D27" s="256">
        <v>0</v>
      </c>
      <c r="E27" s="27" t="s">
        <v>602</v>
      </c>
    </row>
    <row r="28" spans="2:5" ht="26.25" customHeight="1">
      <c r="B28" s="25" t="s">
        <v>530</v>
      </c>
      <c r="C28" s="45" t="s">
        <v>140</v>
      </c>
      <c r="D28" s="256">
        <v>0</v>
      </c>
      <c r="E28" s="27" t="s">
        <v>602</v>
      </c>
    </row>
    <row r="29" spans="2:5" ht="26.25" customHeight="1">
      <c r="B29" s="25" t="s">
        <v>531</v>
      </c>
      <c r="C29" s="45" t="s">
        <v>140</v>
      </c>
      <c r="D29" s="256">
        <v>0</v>
      </c>
      <c r="E29" s="27" t="s">
        <v>603</v>
      </c>
    </row>
    <row r="30" spans="2:5" ht="26.25" customHeight="1">
      <c r="B30" s="25" t="s">
        <v>532</v>
      </c>
      <c r="C30" s="45" t="s">
        <v>140</v>
      </c>
      <c r="D30" s="256">
        <v>0</v>
      </c>
      <c r="E30" s="27" t="s">
        <v>604</v>
      </c>
    </row>
    <row r="31" spans="2:5" ht="42.75" customHeight="1">
      <c r="B31" s="40" t="s">
        <v>588</v>
      </c>
      <c r="C31" s="34"/>
      <c r="D31" s="258">
        <v>15</v>
      </c>
      <c r="E31" s="40" t="s">
        <v>533</v>
      </c>
    </row>
    <row r="32" spans="2:5" ht="26.25" customHeight="1">
      <c r="B32" s="22"/>
      <c r="C32" s="36"/>
      <c r="D32" s="41"/>
      <c r="E32" s="22"/>
    </row>
    <row r="33" spans="2:5" ht="26.25" customHeight="1" thickBot="1">
      <c r="B33" s="131" t="s">
        <v>131</v>
      </c>
      <c r="C33" s="42"/>
      <c r="D33" s="42"/>
      <c r="E33" s="16"/>
    </row>
    <row r="34" spans="2:5" ht="26.25" customHeight="1" thickBot="1">
      <c r="B34" s="11" t="s">
        <v>132</v>
      </c>
      <c r="C34" s="38" t="s">
        <v>83</v>
      </c>
      <c r="D34" s="11" t="s">
        <v>85</v>
      </c>
      <c r="E34" s="11" t="s">
        <v>115</v>
      </c>
    </row>
    <row r="35" spans="2:5" ht="26.25" customHeight="1">
      <c r="B35" s="43" t="s">
        <v>133</v>
      </c>
      <c r="C35" s="44" t="s">
        <v>134</v>
      </c>
      <c r="D35" s="302">
        <v>15</v>
      </c>
      <c r="E35" s="24" t="s">
        <v>550</v>
      </c>
    </row>
    <row r="36" spans="2:5" ht="26.25" customHeight="1">
      <c r="B36" s="25" t="s">
        <v>534</v>
      </c>
      <c r="C36" s="45" t="s">
        <v>122</v>
      </c>
      <c r="D36" s="303">
        <v>2</v>
      </c>
      <c r="E36" s="27" t="s">
        <v>535</v>
      </c>
    </row>
    <row r="37" spans="2:5" ht="26.25" customHeight="1">
      <c r="B37" s="25" t="s">
        <v>135</v>
      </c>
      <c r="C37" s="45" t="s">
        <v>536</v>
      </c>
      <c r="D37" s="304">
        <v>0</v>
      </c>
      <c r="E37" s="27" t="s">
        <v>137</v>
      </c>
    </row>
    <row r="38" spans="2:5" ht="26.25" customHeight="1">
      <c r="B38" s="46" t="s">
        <v>138</v>
      </c>
      <c r="C38" s="47" t="s">
        <v>122</v>
      </c>
      <c r="D38" s="305">
        <v>1</v>
      </c>
      <c r="E38" s="48"/>
    </row>
    <row r="39" spans="2:5" ht="26.25" customHeight="1">
      <c r="B39" s="25" t="s">
        <v>139</v>
      </c>
      <c r="C39" s="45" t="s">
        <v>122</v>
      </c>
      <c r="D39" s="305">
        <v>1</v>
      </c>
      <c r="E39" s="27"/>
    </row>
    <row r="40" spans="2:5" ht="26.25" customHeight="1">
      <c r="B40" s="49" t="s">
        <v>537</v>
      </c>
      <c r="C40" s="47" t="s">
        <v>128</v>
      </c>
      <c r="D40" s="306">
        <v>5</v>
      </c>
      <c r="E40" s="48"/>
    </row>
    <row r="41" spans="2:5" ht="26.25" customHeight="1">
      <c r="B41" s="49" t="s">
        <v>538</v>
      </c>
      <c r="C41" s="47" t="s">
        <v>128</v>
      </c>
      <c r="D41" s="306">
        <v>5</v>
      </c>
      <c r="E41" s="48"/>
    </row>
    <row r="42" spans="2:5" ht="21.75" customHeight="1">
      <c r="B42" s="461" t="s">
        <v>539</v>
      </c>
      <c r="C42" s="462" t="s">
        <v>140</v>
      </c>
      <c r="D42" s="463">
        <v>1</v>
      </c>
      <c r="E42" s="464" t="s">
        <v>141</v>
      </c>
    </row>
    <row r="43" spans="2:5" ht="18" customHeight="1">
      <c r="B43" s="25" t="s">
        <v>540</v>
      </c>
      <c r="C43" s="45" t="s">
        <v>140</v>
      </c>
      <c r="D43" s="256">
        <v>1</v>
      </c>
      <c r="E43" s="252" t="s">
        <v>541</v>
      </c>
    </row>
    <row r="44" spans="2:5" ht="18" customHeight="1">
      <c r="B44" s="25" t="s">
        <v>542</v>
      </c>
      <c r="C44" s="45" t="s">
        <v>140</v>
      </c>
      <c r="D44" s="256">
        <v>1</v>
      </c>
      <c r="E44" s="252" t="s">
        <v>541</v>
      </c>
    </row>
    <row r="45" spans="2:5" ht="18" customHeight="1">
      <c r="B45" s="46" t="s">
        <v>543</v>
      </c>
      <c r="C45" s="45" t="s">
        <v>140</v>
      </c>
      <c r="D45" s="256">
        <v>1</v>
      </c>
      <c r="E45" s="252" t="s">
        <v>541</v>
      </c>
    </row>
    <row r="46" spans="2:5" ht="18" customHeight="1">
      <c r="B46" s="25" t="s">
        <v>544</v>
      </c>
      <c r="C46" s="45" t="s">
        <v>140</v>
      </c>
      <c r="D46" s="256">
        <v>1</v>
      </c>
      <c r="E46" s="252" t="s">
        <v>541</v>
      </c>
    </row>
    <row r="47" spans="2:5" ht="22.5" customHeight="1">
      <c r="B47" s="461" t="s">
        <v>586</v>
      </c>
      <c r="C47" s="462" t="s">
        <v>140</v>
      </c>
      <c r="D47" s="463">
        <v>1</v>
      </c>
      <c r="E47" s="464" t="s">
        <v>141</v>
      </c>
    </row>
    <row r="48" spans="2:5" ht="18" customHeight="1">
      <c r="B48" s="25" t="s">
        <v>540</v>
      </c>
      <c r="C48" s="45" t="s">
        <v>140</v>
      </c>
      <c r="D48" s="256">
        <v>1</v>
      </c>
      <c r="E48" s="252" t="s">
        <v>541</v>
      </c>
    </row>
    <row r="49" spans="2:5" ht="18" customHeight="1">
      <c r="B49" s="25" t="s">
        <v>542</v>
      </c>
      <c r="C49" s="45" t="s">
        <v>140</v>
      </c>
      <c r="D49" s="256">
        <v>1</v>
      </c>
      <c r="E49" s="252" t="s">
        <v>541</v>
      </c>
    </row>
    <row r="50" spans="2:5" ht="18" customHeight="1">
      <c r="B50" s="46" t="s">
        <v>543</v>
      </c>
      <c r="C50" s="45" t="s">
        <v>140</v>
      </c>
      <c r="D50" s="256">
        <v>1</v>
      </c>
      <c r="E50" s="252" t="s">
        <v>541</v>
      </c>
    </row>
    <row r="51" spans="2:5" ht="18" customHeight="1">
      <c r="B51" s="25" t="s">
        <v>544</v>
      </c>
      <c r="C51" s="45" t="s">
        <v>140</v>
      </c>
      <c r="D51" s="256">
        <v>1</v>
      </c>
      <c r="E51" s="252" t="s">
        <v>541</v>
      </c>
    </row>
    <row r="52" spans="2:5" ht="24" customHeight="1">
      <c r="B52" s="461" t="s">
        <v>545</v>
      </c>
      <c r="C52" s="462" t="s">
        <v>140</v>
      </c>
      <c r="D52" s="463">
        <v>0</v>
      </c>
      <c r="E52" s="464" t="s">
        <v>141</v>
      </c>
    </row>
    <row r="53" spans="2:5" ht="18" customHeight="1">
      <c r="B53" s="25" t="s">
        <v>540</v>
      </c>
      <c r="C53" s="45" t="s">
        <v>140</v>
      </c>
      <c r="D53" s="256">
        <v>0</v>
      </c>
      <c r="E53" s="252" t="s">
        <v>541</v>
      </c>
    </row>
    <row r="54" spans="2:5" ht="18" customHeight="1">
      <c r="B54" s="25" t="s">
        <v>542</v>
      </c>
      <c r="C54" s="45" t="s">
        <v>140</v>
      </c>
      <c r="D54" s="256">
        <v>0</v>
      </c>
      <c r="E54" s="252" t="s">
        <v>541</v>
      </c>
    </row>
    <row r="55" spans="2:5" ht="18" customHeight="1">
      <c r="B55" s="46" t="s">
        <v>543</v>
      </c>
      <c r="C55" s="45" t="s">
        <v>140</v>
      </c>
      <c r="D55" s="256">
        <v>0</v>
      </c>
      <c r="E55" s="252" t="s">
        <v>541</v>
      </c>
    </row>
    <row r="56" spans="2:5" ht="18" customHeight="1">
      <c r="B56" s="25" t="s">
        <v>544</v>
      </c>
      <c r="C56" s="45" t="s">
        <v>140</v>
      </c>
      <c r="D56" s="256">
        <v>0</v>
      </c>
      <c r="E56" s="252" t="s">
        <v>541</v>
      </c>
    </row>
    <row r="57" spans="2:5" ht="25.5" customHeight="1">
      <c r="B57" s="461" t="s">
        <v>546</v>
      </c>
      <c r="C57" s="462" t="s">
        <v>140</v>
      </c>
      <c r="D57" s="463">
        <v>1</v>
      </c>
      <c r="E57" s="464" t="s">
        <v>141</v>
      </c>
    </row>
    <row r="58" spans="2:5" ht="18" customHeight="1">
      <c r="B58" s="25" t="s">
        <v>540</v>
      </c>
      <c r="C58" s="45" t="s">
        <v>140</v>
      </c>
      <c r="D58" s="256">
        <v>1</v>
      </c>
      <c r="E58" s="252" t="s">
        <v>541</v>
      </c>
    </row>
    <row r="59" spans="2:5" ht="18" customHeight="1">
      <c r="B59" s="25" t="s">
        <v>542</v>
      </c>
      <c r="C59" s="45" t="s">
        <v>140</v>
      </c>
      <c r="D59" s="256">
        <v>1</v>
      </c>
      <c r="E59" s="252" t="s">
        <v>541</v>
      </c>
    </row>
    <row r="60" spans="2:5" ht="18" customHeight="1">
      <c r="B60" s="46" t="s">
        <v>543</v>
      </c>
      <c r="C60" s="45" t="s">
        <v>140</v>
      </c>
      <c r="D60" s="256">
        <v>1</v>
      </c>
      <c r="E60" s="252" t="s">
        <v>541</v>
      </c>
    </row>
    <row r="61" spans="2:5" ht="18" customHeight="1">
      <c r="B61" s="25" t="s">
        <v>544</v>
      </c>
      <c r="C61" s="45" t="s">
        <v>140</v>
      </c>
      <c r="D61" s="256">
        <v>1</v>
      </c>
      <c r="E61" s="252" t="s">
        <v>541</v>
      </c>
    </row>
    <row r="62" spans="2:5" ht="26.25" customHeight="1">
      <c r="B62" s="465" t="s">
        <v>547</v>
      </c>
      <c r="C62" s="462" t="s">
        <v>140</v>
      </c>
      <c r="D62" s="463">
        <v>1</v>
      </c>
      <c r="E62" s="464" t="s">
        <v>141</v>
      </c>
    </row>
    <row r="63" spans="2:5" ht="18" customHeight="1">
      <c r="B63" s="25" t="s">
        <v>540</v>
      </c>
      <c r="C63" s="45" t="s">
        <v>140</v>
      </c>
      <c r="D63" s="256">
        <v>1</v>
      </c>
      <c r="E63" s="252" t="s">
        <v>541</v>
      </c>
    </row>
    <row r="64" spans="2:5" ht="18" customHeight="1">
      <c r="B64" s="25" t="s">
        <v>542</v>
      </c>
      <c r="C64" s="45" t="s">
        <v>140</v>
      </c>
      <c r="D64" s="256">
        <v>1</v>
      </c>
      <c r="E64" s="252" t="s">
        <v>541</v>
      </c>
    </row>
    <row r="65" spans="2:5" ht="18" customHeight="1">
      <c r="B65" s="46" t="s">
        <v>543</v>
      </c>
      <c r="C65" s="45" t="s">
        <v>140</v>
      </c>
      <c r="D65" s="256">
        <v>1</v>
      </c>
      <c r="E65" s="252" t="s">
        <v>541</v>
      </c>
    </row>
    <row r="66" spans="2:5" ht="18" customHeight="1">
      <c r="B66" s="25" t="s">
        <v>544</v>
      </c>
      <c r="C66" s="45" t="s">
        <v>140</v>
      </c>
      <c r="D66" s="256">
        <v>1</v>
      </c>
      <c r="E66" s="252" t="s">
        <v>541</v>
      </c>
    </row>
    <row r="67" spans="2:5" ht="22.5" customHeight="1">
      <c r="B67" s="465" t="s">
        <v>548</v>
      </c>
      <c r="C67" s="462" t="s">
        <v>140</v>
      </c>
      <c r="D67" s="463">
        <v>0</v>
      </c>
      <c r="E67" s="464" t="s">
        <v>141</v>
      </c>
    </row>
    <row r="68" spans="2:5" ht="18" customHeight="1">
      <c r="B68" s="39" t="s">
        <v>540</v>
      </c>
      <c r="C68" s="253" t="s">
        <v>140</v>
      </c>
      <c r="D68" s="307">
        <v>0</v>
      </c>
      <c r="E68" s="252" t="s">
        <v>541</v>
      </c>
    </row>
    <row r="69" spans="2:5" ht="18" customHeight="1">
      <c r="B69" s="25" t="s">
        <v>542</v>
      </c>
      <c r="C69" s="45" t="s">
        <v>140</v>
      </c>
      <c r="D69" s="256">
        <v>0</v>
      </c>
      <c r="E69" s="252" t="s">
        <v>541</v>
      </c>
    </row>
    <row r="70" spans="2:5" ht="18" customHeight="1">
      <c r="B70" s="46" t="s">
        <v>543</v>
      </c>
      <c r="C70" s="45" t="s">
        <v>140</v>
      </c>
      <c r="D70" s="256">
        <v>0</v>
      </c>
      <c r="E70" s="252" t="s">
        <v>541</v>
      </c>
    </row>
    <row r="71" spans="2:5" ht="18" customHeight="1">
      <c r="B71" s="25" t="s">
        <v>544</v>
      </c>
      <c r="C71" s="45" t="s">
        <v>140</v>
      </c>
      <c r="D71" s="256">
        <v>0</v>
      </c>
      <c r="E71" s="252" t="s">
        <v>541</v>
      </c>
    </row>
    <row r="72" spans="2:5" ht="23.25" customHeight="1">
      <c r="B72" s="461" t="s">
        <v>549</v>
      </c>
      <c r="C72" s="462" t="s">
        <v>140</v>
      </c>
      <c r="D72" s="463">
        <v>0</v>
      </c>
      <c r="E72" s="464" t="s">
        <v>141</v>
      </c>
    </row>
    <row r="73" spans="2:5" ht="18" customHeight="1">
      <c r="B73" s="25" t="s">
        <v>540</v>
      </c>
      <c r="C73" s="45" t="s">
        <v>140</v>
      </c>
      <c r="D73" s="256">
        <v>0</v>
      </c>
      <c r="E73" s="252" t="s">
        <v>541</v>
      </c>
    </row>
    <row r="74" spans="2:5" ht="18" customHeight="1">
      <c r="B74" s="25" t="s">
        <v>542</v>
      </c>
      <c r="C74" s="45" t="s">
        <v>140</v>
      </c>
      <c r="D74" s="256">
        <v>0</v>
      </c>
      <c r="E74" s="252" t="s">
        <v>541</v>
      </c>
    </row>
    <row r="75" spans="2:5" ht="18" customHeight="1">
      <c r="B75" s="46" t="s">
        <v>543</v>
      </c>
      <c r="C75" s="45" t="s">
        <v>140</v>
      </c>
      <c r="D75" s="256">
        <v>0</v>
      </c>
      <c r="E75" s="252" t="s">
        <v>541</v>
      </c>
    </row>
    <row r="76" spans="2:5" ht="18" customHeight="1">
      <c r="B76" s="25" t="s">
        <v>544</v>
      </c>
      <c r="C76" s="45" t="s">
        <v>140</v>
      </c>
      <c r="D76" s="256">
        <v>0</v>
      </c>
      <c r="E76" s="252" t="s">
        <v>541</v>
      </c>
    </row>
  </sheetData>
  <sheetProtection objects="1" scenarios="1"/>
  <printOptions/>
  <pageMargins left="0.75" right="0.75" top="1" bottom="1" header="0.5" footer="0.5"/>
  <pageSetup fitToHeight="2" orientation="portrait" scale="69" r:id="rId3"/>
  <headerFooter alignWithMargins="0">
    <oddHeader>&amp;LFile: &amp;F, Sheet: &amp;A&amp;R&amp;D, &amp;T</oddHeader>
    <oddFooter>&amp;LPrepared by:
Resource Consulting</oddFooter>
  </headerFooter>
  <rowBreaks count="1" manualBreakCount="1">
    <brk id="32" min="1" max="4" man="1"/>
  </rowBreaks>
  <legacyDrawing r:id="rId2"/>
</worksheet>
</file>

<file path=xl/worksheets/sheet4.xml><?xml version="1.0" encoding="utf-8"?>
<worksheet xmlns="http://schemas.openxmlformats.org/spreadsheetml/2006/main" xmlns:r="http://schemas.openxmlformats.org/officeDocument/2006/relationships">
  <sheetPr codeName="Sheet4"/>
  <dimension ref="A1:N118"/>
  <sheetViews>
    <sheetView zoomScalePageLayoutView="0" workbookViewId="0" topLeftCell="A1">
      <selection activeCell="A1" sqref="A1"/>
    </sheetView>
  </sheetViews>
  <sheetFormatPr defaultColWidth="9.140625" defaultRowHeight="12.75"/>
  <cols>
    <col min="1" max="1" width="16.00390625" style="0" customWidth="1"/>
    <col min="2" max="2" width="30.8515625" style="0" customWidth="1"/>
    <col min="3" max="4" width="12.421875" style="0" customWidth="1"/>
    <col min="5" max="5" width="33.00390625" style="1" customWidth="1"/>
    <col min="6" max="6" width="34.57421875" style="0" customWidth="1"/>
    <col min="7" max="7" width="10.8515625" style="0" customWidth="1"/>
    <col min="9" max="9" width="11.57421875" style="0" customWidth="1"/>
  </cols>
  <sheetData>
    <row r="1" ht="26.25" customHeight="1">
      <c r="B1" s="149" t="s">
        <v>142</v>
      </c>
    </row>
    <row r="2" ht="23.25">
      <c r="B2" s="149"/>
    </row>
    <row r="3" ht="22.5" customHeight="1" thickBot="1">
      <c r="B3" s="149" t="s">
        <v>143</v>
      </c>
    </row>
    <row r="4" spans="2:6" s="12" customFormat="1" ht="20.25" customHeight="1" thickBot="1">
      <c r="B4" s="479" t="s">
        <v>102</v>
      </c>
      <c r="C4" s="479" t="s">
        <v>83</v>
      </c>
      <c r="D4" s="479" t="s">
        <v>84</v>
      </c>
      <c r="E4" s="479" t="s">
        <v>144</v>
      </c>
      <c r="F4" s="479" t="s">
        <v>145</v>
      </c>
    </row>
    <row r="5" spans="1:6" ht="26.25" customHeight="1" hidden="1">
      <c r="A5" t="s">
        <v>765</v>
      </c>
      <c r="B5" s="264" t="s">
        <v>92</v>
      </c>
      <c r="C5" s="19" t="s">
        <v>93</v>
      </c>
      <c r="D5" s="104">
        <v>39</v>
      </c>
      <c r="E5" s="5" t="s">
        <v>162</v>
      </c>
      <c r="F5" s="265" t="s">
        <v>163</v>
      </c>
    </row>
    <row r="6" spans="1:6" ht="18" customHeight="1" hidden="1">
      <c r="A6" t="s">
        <v>765</v>
      </c>
      <c r="B6" s="264" t="s">
        <v>237</v>
      </c>
      <c r="C6" s="19" t="s">
        <v>93</v>
      </c>
      <c r="D6" s="105">
        <v>17</v>
      </c>
      <c r="E6" s="5"/>
      <c r="F6" s="265" t="s">
        <v>238</v>
      </c>
    </row>
    <row r="7" spans="1:6" ht="20.25" customHeight="1" hidden="1">
      <c r="A7" t="s">
        <v>765</v>
      </c>
      <c r="B7" s="264" t="s">
        <v>243</v>
      </c>
      <c r="C7" s="19" t="s">
        <v>93</v>
      </c>
      <c r="D7" s="105">
        <v>0</v>
      </c>
      <c r="E7" s="5"/>
      <c r="F7" s="266"/>
    </row>
    <row r="8" spans="1:6" ht="27" customHeight="1" hidden="1">
      <c r="A8" t="s">
        <v>765</v>
      </c>
      <c r="B8" s="285" t="s">
        <v>244</v>
      </c>
      <c r="C8" s="284" t="s">
        <v>93</v>
      </c>
      <c r="D8" s="106">
        <v>25</v>
      </c>
      <c r="E8" s="17"/>
      <c r="F8" s="275" t="s">
        <v>246</v>
      </c>
    </row>
    <row r="9" spans="1:6" ht="18" customHeight="1" hidden="1">
      <c r="A9" t="s">
        <v>765</v>
      </c>
      <c r="B9" s="264" t="s">
        <v>248</v>
      </c>
      <c r="C9" s="19" t="s">
        <v>249</v>
      </c>
      <c r="D9" s="105">
        <v>30</v>
      </c>
      <c r="E9" s="5"/>
      <c r="F9" s="265"/>
    </row>
    <row r="10" spans="1:6" ht="18" customHeight="1" hidden="1">
      <c r="A10" t="s">
        <v>765</v>
      </c>
      <c r="B10" s="285" t="s">
        <v>94</v>
      </c>
      <c r="C10" s="19" t="s">
        <v>149</v>
      </c>
      <c r="D10" s="104">
        <v>0.16</v>
      </c>
      <c r="E10" s="5"/>
      <c r="F10" s="265" t="s">
        <v>235</v>
      </c>
    </row>
    <row r="11" spans="1:6" ht="18" customHeight="1" hidden="1">
      <c r="A11" t="s">
        <v>765</v>
      </c>
      <c r="B11" s="285" t="s">
        <v>95</v>
      </c>
      <c r="C11" s="26" t="s">
        <v>149</v>
      </c>
      <c r="D11" s="104">
        <v>0.2</v>
      </c>
      <c r="E11" s="5"/>
      <c r="F11" s="265" t="s">
        <v>150</v>
      </c>
    </row>
    <row r="12" spans="1:6" ht="18" customHeight="1" hidden="1">
      <c r="A12" t="s">
        <v>765</v>
      </c>
      <c r="B12" s="285" t="s">
        <v>96</v>
      </c>
      <c r="C12" s="26" t="s">
        <v>149</v>
      </c>
      <c r="D12" s="104">
        <v>0.16</v>
      </c>
      <c r="E12" s="5"/>
      <c r="F12" s="265" t="s">
        <v>150</v>
      </c>
    </row>
    <row r="13" spans="1:6" ht="18" customHeight="1" hidden="1">
      <c r="A13" t="s">
        <v>765</v>
      </c>
      <c r="B13" s="285" t="s">
        <v>97</v>
      </c>
      <c r="C13" s="26" t="s">
        <v>149</v>
      </c>
      <c r="D13" s="104">
        <v>0.22</v>
      </c>
      <c r="E13" s="5"/>
      <c r="F13" s="265" t="s">
        <v>150</v>
      </c>
    </row>
    <row r="14" spans="1:6" ht="18" customHeight="1" hidden="1">
      <c r="A14" t="s">
        <v>765</v>
      </c>
      <c r="B14" s="276" t="s">
        <v>567</v>
      </c>
      <c r="C14" s="26" t="s">
        <v>90</v>
      </c>
      <c r="D14" s="107">
        <v>0</v>
      </c>
      <c r="E14" s="5"/>
      <c r="F14" s="265"/>
    </row>
    <row r="15" spans="1:9" ht="18" customHeight="1" hidden="1">
      <c r="A15" t="s">
        <v>765</v>
      </c>
      <c r="B15" s="276" t="s">
        <v>589</v>
      </c>
      <c r="C15" s="26" t="s">
        <v>90</v>
      </c>
      <c r="D15" s="107">
        <v>0</v>
      </c>
      <c r="E15" s="5"/>
      <c r="F15" s="265"/>
      <c r="I15" s="17"/>
    </row>
    <row r="16" spans="1:6" ht="18" customHeight="1" hidden="1">
      <c r="A16" t="s">
        <v>765</v>
      </c>
      <c r="B16" s="264" t="s">
        <v>151</v>
      </c>
      <c r="C16" s="19" t="s">
        <v>152</v>
      </c>
      <c r="D16" s="105">
        <v>10.5</v>
      </c>
      <c r="E16" s="5" t="s">
        <v>153</v>
      </c>
      <c r="F16" s="265"/>
    </row>
    <row r="17" spans="1:6" ht="18" customHeight="1">
      <c r="A17" t="s">
        <v>25</v>
      </c>
      <c r="B17" s="264" t="s">
        <v>260</v>
      </c>
      <c r="C17" s="19" t="s">
        <v>247</v>
      </c>
      <c r="D17" s="105">
        <v>1.8</v>
      </c>
      <c r="E17" s="5"/>
      <c r="F17" s="265"/>
    </row>
    <row r="18" spans="1:6" ht="18" customHeight="1">
      <c r="A18" t="s">
        <v>25</v>
      </c>
      <c r="B18" s="264" t="s">
        <v>261</v>
      </c>
      <c r="C18" s="19" t="s">
        <v>247</v>
      </c>
      <c r="D18" s="105">
        <v>1.7</v>
      </c>
      <c r="E18" s="5"/>
      <c r="F18" s="265"/>
    </row>
    <row r="19" spans="1:6" ht="25.5">
      <c r="A19" t="s">
        <v>25</v>
      </c>
      <c r="B19" s="264" t="s">
        <v>154</v>
      </c>
      <c r="C19" s="19" t="s">
        <v>93</v>
      </c>
      <c r="D19" s="105">
        <v>2500</v>
      </c>
      <c r="E19" s="5" t="s">
        <v>155</v>
      </c>
      <c r="F19" s="265" t="s">
        <v>156</v>
      </c>
    </row>
    <row r="20" spans="1:6" ht="51">
      <c r="A20" t="s">
        <v>25</v>
      </c>
      <c r="B20" s="264" t="s">
        <v>157</v>
      </c>
      <c r="C20" s="19" t="s">
        <v>93</v>
      </c>
      <c r="D20" s="105">
        <v>500</v>
      </c>
      <c r="E20" s="5" t="s">
        <v>236</v>
      </c>
      <c r="F20" s="265"/>
    </row>
    <row r="21" spans="1:6" ht="32.25" customHeight="1" thickBot="1">
      <c r="A21" t="s">
        <v>25</v>
      </c>
      <c r="B21" s="268" t="s">
        <v>158</v>
      </c>
      <c r="C21" s="269" t="s">
        <v>93</v>
      </c>
      <c r="D21" s="277">
        <v>115</v>
      </c>
      <c r="E21" s="271" t="s">
        <v>240</v>
      </c>
      <c r="F21" s="272" t="s">
        <v>239</v>
      </c>
    </row>
    <row r="22" spans="2:6" ht="18" customHeight="1">
      <c r="B22" s="20" t="s">
        <v>159</v>
      </c>
      <c r="C22" s="21"/>
      <c r="D22" s="36"/>
      <c r="E22" s="17"/>
      <c r="F22" s="18"/>
    </row>
    <row r="23" spans="2:6" ht="18" customHeight="1">
      <c r="B23" s="20"/>
      <c r="C23" s="21"/>
      <c r="D23" s="36"/>
      <c r="E23" s="17"/>
      <c r="F23" s="18"/>
    </row>
    <row r="24" spans="2:6" ht="24.75" customHeight="1" thickBot="1">
      <c r="B24" s="273" t="s">
        <v>160</v>
      </c>
      <c r="C24" s="423"/>
      <c r="D24" s="423"/>
      <c r="E24" s="423"/>
      <c r="F24" s="423"/>
    </row>
    <row r="25" spans="2:6" ht="21" customHeight="1" thickBot="1">
      <c r="B25" s="479" t="s">
        <v>102</v>
      </c>
      <c r="C25" s="479" t="s">
        <v>83</v>
      </c>
      <c r="D25" s="479" t="s">
        <v>84</v>
      </c>
      <c r="E25" s="479" t="s">
        <v>144</v>
      </c>
      <c r="F25" s="479" t="s">
        <v>145</v>
      </c>
    </row>
    <row r="26" spans="2:6" ht="38.25">
      <c r="B26" s="260" t="s">
        <v>89</v>
      </c>
      <c r="C26" s="261" t="s">
        <v>90</v>
      </c>
      <c r="D26" s="274">
        <v>114</v>
      </c>
      <c r="E26" s="262" t="s">
        <v>146</v>
      </c>
      <c r="F26" s="263" t="s">
        <v>147</v>
      </c>
    </row>
    <row r="27" spans="2:6" ht="38.25">
      <c r="B27" s="602" t="s">
        <v>87</v>
      </c>
      <c r="C27" s="603" t="s">
        <v>90</v>
      </c>
      <c r="D27" s="604">
        <v>28.5</v>
      </c>
      <c r="E27" s="605" t="s">
        <v>148</v>
      </c>
      <c r="F27" s="606" t="s">
        <v>592</v>
      </c>
    </row>
    <row r="28" spans="2:6" ht="18" customHeight="1">
      <c r="B28" s="600" t="s">
        <v>161</v>
      </c>
      <c r="C28" s="496" t="s">
        <v>93</v>
      </c>
      <c r="D28" s="601">
        <v>50</v>
      </c>
      <c r="E28" s="573"/>
      <c r="F28" s="574"/>
    </row>
    <row r="29" spans="2:6" ht="18" customHeight="1">
      <c r="B29" s="264" t="s">
        <v>92</v>
      </c>
      <c r="C29" s="19" t="s">
        <v>93</v>
      </c>
      <c r="D29" s="104">
        <v>39</v>
      </c>
      <c r="E29" s="5" t="s">
        <v>162</v>
      </c>
      <c r="F29" s="265" t="s">
        <v>163</v>
      </c>
    </row>
    <row r="30" spans="2:6" ht="18" customHeight="1">
      <c r="B30" s="264" t="s">
        <v>594</v>
      </c>
      <c r="C30" s="389" t="s">
        <v>149</v>
      </c>
      <c r="D30" s="104">
        <v>0.16</v>
      </c>
      <c r="E30" s="5"/>
      <c r="F30" s="265"/>
    </row>
    <row r="31" spans="2:6" ht="18" customHeight="1">
      <c r="B31" s="285" t="s">
        <v>378</v>
      </c>
      <c r="C31" s="389" t="s">
        <v>93</v>
      </c>
      <c r="D31" s="104">
        <v>30</v>
      </c>
      <c r="E31" s="5"/>
      <c r="F31" s="265"/>
    </row>
    <row r="32" spans="2:6" ht="25.5">
      <c r="B32" s="264" t="s">
        <v>164</v>
      </c>
      <c r="C32" s="19" t="s">
        <v>93</v>
      </c>
      <c r="D32" s="105">
        <f>1.9*500</f>
        <v>950</v>
      </c>
      <c r="E32" s="5" t="s">
        <v>165</v>
      </c>
      <c r="F32" s="266" t="s">
        <v>166</v>
      </c>
    </row>
    <row r="33" spans="2:6" ht="63.75">
      <c r="B33" s="264" t="s">
        <v>551</v>
      </c>
      <c r="C33" s="19" t="s">
        <v>93</v>
      </c>
      <c r="D33" s="105">
        <v>568</v>
      </c>
      <c r="E33" s="5"/>
      <c r="F33" s="267" t="s">
        <v>167</v>
      </c>
    </row>
    <row r="34" spans="2:6" ht="18.75" customHeight="1">
      <c r="B34" s="264" t="s">
        <v>168</v>
      </c>
      <c r="C34" s="19" t="s">
        <v>169</v>
      </c>
      <c r="D34" s="105">
        <v>2</v>
      </c>
      <c r="E34" s="5"/>
      <c r="F34" s="265" t="s">
        <v>170</v>
      </c>
    </row>
    <row r="35" spans="2:6" ht="25.5">
      <c r="B35" s="264" t="s">
        <v>171</v>
      </c>
      <c r="C35" s="19" t="s">
        <v>93</v>
      </c>
      <c r="D35" s="104">
        <v>850</v>
      </c>
      <c r="E35" s="5" t="s">
        <v>172</v>
      </c>
      <c r="F35" s="266" t="s">
        <v>173</v>
      </c>
    </row>
    <row r="36" spans="2:6" ht="18" customHeight="1">
      <c r="B36" s="264" t="s">
        <v>174</v>
      </c>
      <c r="C36" s="19" t="s">
        <v>93</v>
      </c>
      <c r="D36" s="104">
        <v>50</v>
      </c>
      <c r="E36" s="5" t="s">
        <v>175</v>
      </c>
      <c r="F36" s="265" t="s">
        <v>176</v>
      </c>
    </row>
    <row r="37" spans="2:6" ht="25.5" customHeight="1">
      <c r="B37" s="264" t="s">
        <v>177</v>
      </c>
      <c r="C37" s="19" t="s">
        <v>93</v>
      </c>
      <c r="D37" s="104">
        <v>350</v>
      </c>
      <c r="E37" s="5" t="s">
        <v>178</v>
      </c>
      <c r="F37" s="266"/>
    </row>
    <row r="38" spans="2:6" ht="18" customHeight="1">
      <c r="B38" s="264" t="s">
        <v>179</v>
      </c>
      <c r="C38" s="19" t="s">
        <v>93</v>
      </c>
      <c r="D38" s="104">
        <v>100</v>
      </c>
      <c r="E38" s="5" t="s">
        <v>180</v>
      </c>
      <c r="F38" s="265" t="s">
        <v>170</v>
      </c>
    </row>
    <row r="39" spans="2:6" ht="18" customHeight="1">
      <c r="B39" s="264" t="s">
        <v>181</v>
      </c>
      <c r="C39" s="19" t="s">
        <v>93</v>
      </c>
      <c r="D39" s="104">
        <v>75</v>
      </c>
      <c r="E39" s="5"/>
      <c r="F39" s="265" t="s">
        <v>182</v>
      </c>
    </row>
    <row r="40" spans="2:6" ht="18" customHeight="1">
      <c r="B40" s="264" t="s">
        <v>183</v>
      </c>
      <c r="C40" s="19" t="s">
        <v>93</v>
      </c>
      <c r="D40" s="104">
        <v>95</v>
      </c>
      <c r="E40" s="5"/>
      <c r="F40" s="265" t="s">
        <v>182</v>
      </c>
    </row>
    <row r="41" spans="2:6" ht="26.25" customHeight="1">
      <c r="B41" s="264" t="s">
        <v>641</v>
      </c>
      <c r="C41" s="19" t="s">
        <v>90</v>
      </c>
      <c r="D41" s="104">
        <v>25</v>
      </c>
      <c r="E41" s="5"/>
      <c r="F41" s="266" t="s">
        <v>635</v>
      </c>
    </row>
    <row r="42" spans="2:6" ht="18" customHeight="1">
      <c r="B42" s="264" t="s">
        <v>184</v>
      </c>
      <c r="C42" s="19" t="s">
        <v>185</v>
      </c>
      <c r="D42" s="104">
        <v>170</v>
      </c>
      <c r="E42" s="5" t="s">
        <v>186</v>
      </c>
      <c r="F42" s="265" t="s">
        <v>176</v>
      </c>
    </row>
    <row r="43" spans="2:6" ht="18" customHeight="1" thickBot="1">
      <c r="B43" s="268" t="s">
        <v>187</v>
      </c>
      <c r="C43" s="269" t="s">
        <v>90</v>
      </c>
      <c r="D43" s="270">
        <v>5.74</v>
      </c>
      <c r="E43" s="271" t="s">
        <v>241</v>
      </c>
      <c r="F43" s="272" t="s">
        <v>242</v>
      </c>
    </row>
    <row r="44" spans="2:6" ht="18" customHeight="1">
      <c r="B44" s="20"/>
      <c r="C44" s="18"/>
      <c r="D44" s="18"/>
      <c r="E44" s="17"/>
      <c r="F44" s="18"/>
    </row>
    <row r="45" spans="2:6" ht="23.25">
      <c r="B45" s="480" t="s">
        <v>555</v>
      </c>
      <c r="C45" s="481"/>
      <c r="D45" s="18"/>
      <c r="E45" s="17"/>
      <c r="F45" s="18"/>
    </row>
    <row r="46" spans="2:14" s="42" customFormat="1" ht="18.75" customHeight="1" thickBot="1">
      <c r="B46" s="42" t="s">
        <v>558</v>
      </c>
      <c r="C46" s="281"/>
      <c r="D46" s="281"/>
      <c r="E46" s="281"/>
      <c r="F46" s="282"/>
      <c r="G46" s="282"/>
      <c r="J46" s="281"/>
      <c r="K46" s="281"/>
      <c r="L46" s="281"/>
      <c r="M46" s="282"/>
      <c r="N46" s="282"/>
    </row>
    <row r="47" spans="2:14" s="42" customFormat="1" ht="18.75" customHeight="1">
      <c r="B47" s="286" t="s">
        <v>231</v>
      </c>
      <c r="C47" s="287">
        <f>SUM(D77:D80)/COUNT(D77:D80)</f>
        <v>420.25</v>
      </c>
      <c r="D47" s="281"/>
      <c r="E47" s="281"/>
      <c r="F47" s="282"/>
      <c r="G47" s="282"/>
      <c r="I47" s="21"/>
      <c r="J47" s="283"/>
      <c r="K47" s="283"/>
      <c r="L47" s="283"/>
      <c r="M47" s="283"/>
      <c r="N47" s="283"/>
    </row>
    <row r="48" spans="2:14" s="42" customFormat="1" ht="18.75" customHeight="1">
      <c r="B48" s="288" t="s">
        <v>232</v>
      </c>
      <c r="C48" s="289">
        <f>SUM(D91:D94)/COUNT(D91:D94)</f>
        <v>256</v>
      </c>
      <c r="D48" s="281"/>
      <c r="E48" s="281"/>
      <c r="F48" s="282"/>
      <c r="G48" s="282"/>
      <c r="I48" s="21"/>
      <c r="J48" s="283"/>
      <c r="K48" s="283"/>
      <c r="L48" s="283"/>
      <c r="M48" s="283"/>
      <c r="N48" s="283"/>
    </row>
    <row r="49" spans="2:14" s="42" customFormat="1" ht="18.75" customHeight="1">
      <c r="B49" s="288" t="s">
        <v>233</v>
      </c>
      <c r="C49" s="289">
        <f>(K74+K75+K80+K81)/COUNT(K74,K75,K80,K81)</f>
        <v>449</v>
      </c>
      <c r="D49" s="278"/>
      <c r="E49" s="278"/>
      <c r="F49" s="279"/>
      <c r="G49" s="280"/>
      <c r="I49" s="21"/>
      <c r="J49" s="283"/>
      <c r="K49" s="283"/>
      <c r="L49" s="283"/>
      <c r="M49" s="283"/>
      <c r="N49" s="283"/>
    </row>
    <row r="50" spans="2:14" s="42" customFormat="1" ht="18.75" customHeight="1">
      <c r="B50" s="290" t="s">
        <v>556</v>
      </c>
      <c r="C50" s="289">
        <f>(D82+D96)/COUNT(D82,D96)</f>
        <v>98</v>
      </c>
      <c r="D50" s="281"/>
      <c r="E50" s="281"/>
      <c r="F50" s="282"/>
      <c r="G50" s="282"/>
      <c r="J50" s="281"/>
      <c r="K50" s="281"/>
      <c r="L50" s="281"/>
      <c r="M50" s="282"/>
      <c r="N50" s="282"/>
    </row>
    <row r="51" spans="2:14" s="42" customFormat="1" ht="18.75" customHeight="1">
      <c r="B51" s="290" t="s">
        <v>559</v>
      </c>
      <c r="C51" s="289">
        <f>(D81+D95)/2</f>
        <v>45</v>
      </c>
      <c r="D51" s="281"/>
      <c r="E51" s="281"/>
      <c r="F51" s="282"/>
      <c r="G51" s="282"/>
      <c r="J51" s="281"/>
      <c r="K51" s="281"/>
      <c r="L51" s="281"/>
      <c r="M51" s="282"/>
      <c r="N51" s="282"/>
    </row>
    <row r="52" spans="2:14" s="42" customFormat="1" ht="18.75" customHeight="1" thickBot="1">
      <c r="B52" s="291" t="s">
        <v>557</v>
      </c>
      <c r="C52" s="292">
        <f>(K77+K83+K86)/COUNT(K77,K83,K86)</f>
        <v>20.333333333333332</v>
      </c>
      <c r="D52" s="281"/>
      <c r="E52" s="281"/>
      <c r="F52" s="282"/>
      <c r="G52" s="282"/>
      <c r="J52" s="281"/>
      <c r="K52" s="281"/>
      <c r="L52" s="281"/>
      <c r="M52" s="282"/>
      <c r="N52" s="282"/>
    </row>
    <row r="53" spans="2:6" ht="18.75" customHeight="1">
      <c r="B53" s="18"/>
      <c r="C53" s="18"/>
      <c r="D53" s="18"/>
      <c r="E53" s="17"/>
      <c r="F53" s="18"/>
    </row>
    <row r="54" ht="12.75"/>
    <row r="55" ht="12.75"/>
    <row r="56" spans="2:12" ht="15.75">
      <c r="B56" s="51" t="s">
        <v>188</v>
      </c>
      <c r="C56" s="52"/>
      <c r="D56" s="52"/>
      <c r="E56" s="52"/>
      <c r="F56" s="53"/>
      <c r="G56" s="53"/>
      <c r="H56" s="54"/>
      <c r="I56" s="53" t="s">
        <v>189</v>
      </c>
      <c r="J56" s="55" t="s">
        <v>190</v>
      </c>
      <c r="K56" s="54"/>
      <c r="L56" s="52"/>
    </row>
    <row r="57" spans="2:12" ht="12.75">
      <c r="B57" s="54" t="s">
        <v>191</v>
      </c>
      <c r="C57" s="52"/>
      <c r="D57" s="52"/>
      <c r="E57" s="52"/>
      <c r="F57" s="53"/>
      <c r="G57" s="53"/>
      <c r="H57" s="54"/>
      <c r="I57" s="53" t="s">
        <v>192</v>
      </c>
      <c r="J57" s="55" t="s">
        <v>193</v>
      </c>
      <c r="K57" s="54"/>
      <c r="L57" s="52"/>
    </row>
    <row r="58" spans="2:12" ht="12.75">
      <c r="B58" s="54" t="s">
        <v>194</v>
      </c>
      <c r="C58" s="52"/>
      <c r="D58" s="52"/>
      <c r="E58" s="52"/>
      <c r="F58" s="53"/>
      <c r="G58" s="53"/>
      <c r="H58" s="54"/>
      <c r="I58" s="53" t="s">
        <v>195</v>
      </c>
      <c r="J58" s="55" t="s">
        <v>196</v>
      </c>
      <c r="K58" s="54"/>
      <c r="L58" s="52"/>
    </row>
    <row r="59" ht="12.75">
      <c r="E59"/>
    </row>
    <row r="60" ht="12.75">
      <c r="E60"/>
    </row>
    <row r="61" ht="12.75">
      <c r="E61"/>
    </row>
    <row r="62" ht="12.75">
      <c r="E62"/>
    </row>
    <row r="63" spans="2:14" ht="14.25">
      <c r="B63" s="56" t="s">
        <v>591</v>
      </c>
      <c r="C63" s="57"/>
      <c r="D63" s="57"/>
      <c r="E63" s="57"/>
      <c r="F63" s="58"/>
      <c r="G63" s="58"/>
      <c r="H63" s="59"/>
      <c r="I63" s="59"/>
      <c r="J63" s="57"/>
      <c r="K63" s="57"/>
      <c r="L63" s="57"/>
      <c r="M63" s="58"/>
      <c r="N63" s="60" t="s">
        <v>197</v>
      </c>
    </row>
    <row r="64" spans="2:14" ht="12.75">
      <c r="B64" s="54"/>
      <c r="C64" s="61"/>
      <c r="D64" s="61"/>
      <c r="E64" s="61"/>
      <c r="F64" s="62"/>
      <c r="G64" s="62"/>
      <c r="H64" s="54"/>
      <c r="I64" s="54"/>
      <c r="J64" s="52"/>
      <c r="K64" s="52"/>
      <c r="L64" s="52"/>
      <c r="M64" s="63"/>
      <c r="N64" s="63"/>
    </row>
    <row r="65" spans="2:14" ht="14.25">
      <c r="B65" s="56" t="s">
        <v>198</v>
      </c>
      <c r="C65" s="52"/>
      <c r="D65" s="52"/>
      <c r="E65" s="52"/>
      <c r="F65" s="62" t="s">
        <v>199</v>
      </c>
      <c r="G65" s="62" t="s">
        <v>199</v>
      </c>
      <c r="H65" s="54"/>
      <c r="I65" s="56" t="s">
        <v>198</v>
      </c>
      <c r="J65" s="52"/>
      <c r="K65" s="52"/>
      <c r="L65" s="52"/>
      <c r="M65" s="62" t="s">
        <v>199</v>
      </c>
      <c r="N65" s="62" t="s">
        <v>199</v>
      </c>
    </row>
    <row r="66" spans="2:14" ht="12.75">
      <c r="B66" s="54"/>
      <c r="C66" s="52"/>
      <c r="D66" s="61" t="s">
        <v>200</v>
      </c>
      <c r="E66" s="52"/>
      <c r="F66" s="62" t="s">
        <v>201</v>
      </c>
      <c r="G66" s="62" t="s">
        <v>202</v>
      </c>
      <c r="H66" s="54"/>
      <c r="I66" s="54"/>
      <c r="J66" s="52"/>
      <c r="K66" s="61" t="s">
        <v>200</v>
      </c>
      <c r="L66" s="52"/>
      <c r="M66" s="62" t="s">
        <v>201</v>
      </c>
      <c r="N66" s="62" t="s">
        <v>202</v>
      </c>
    </row>
    <row r="67" spans="2:14" ht="12.75">
      <c r="B67" s="64" t="s">
        <v>203</v>
      </c>
      <c r="C67" s="61" t="s">
        <v>204</v>
      </c>
      <c r="D67" s="65" t="s">
        <v>205</v>
      </c>
      <c r="E67" s="61" t="s">
        <v>206</v>
      </c>
      <c r="F67" s="62" t="s">
        <v>207</v>
      </c>
      <c r="G67" s="62" t="s">
        <v>207</v>
      </c>
      <c r="H67" s="54"/>
      <c r="I67" s="64" t="s">
        <v>203</v>
      </c>
      <c r="J67" s="61" t="s">
        <v>204</v>
      </c>
      <c r="K67" s="65" t="s">
        <v>205</v>
      </c>
      <c r="L67" s="61" t="s">
        <v>206</v>
      </c>
      <c r="M67" s="62" t="s">
        <v>207</v>
      </c>
      <c r="N67" s="62" t="s">
        <v>207</v>
      </c>
    </row>
    <row r="68" spans="2:14" ht="12.75">
      <c r="B68" s="66" t="s">
        <v>208</v>
      </c>
      <c r="C68" s="61"/>
      <c r="D68" s="65"/>
      <c r="E68" s="61"/>
      <c r="F68" s="62"/>
      <c r="G68" s="62"/>
      <c r="H68" s="54"/>
      <c r="I68" s="66" t="s">
        <v>208</v>
      </c>
      <c r="J68" s="61"/>
      <c r="K68" s="65"/>
      <c r="L68" s="61"/>
      <c r="M68" s="62"/>
      <c r="N68" s="62"/>
    </row>
    <row r="69" spans="2:14" ht="12.75">
      <c r="B69" s="67" t="s">
        <v>209</v>
      </c>
      <c r="C69" s="68"/>
      <c r="D69" s="69"/>
      <c r="E69" s="68"/>
      <c r="F69" s="70"/>
      <c r="G69" s="70"/>
      <c r="H69" s="71"/>
      <c r="I69" s="67" t="s">
        <v>210</v>
      </c>
      <c r="J69" s="68"/>
      <c r="K69" s="69"/>
      <c r="L69" s="68"/>
      <c r="M69" s="70"/>
      <c r="N69" s="70"/>
    </row>
    <row r="70" spans="2:14" ht="12.75">
      <c r="B70" s="72" t="s">
        <v>211</v>
      </c>
      <c r="C70" s="68">
        <v>630</v>
      </c>
      <c r="D70" s="69">
        <v>599</v>
      </c>
      <c r="E70" s="68">
        <v>570</v>
      </c>
      <c r="F70" s="70">
        <v>-0.06</v>
      </c>
      <c r="G70" s="70">
        <v>0.01</v>
      </c>
      <c r="H70" s="71"/>
      <c r="I70" s="72" t="s">
        <v>212</v>
      </c>
      <c r="J70" s="68">
        <v>1300</v>
      </c>
      <c r="K70" s="69">
        <v>1134</v>
      </c>
      <c r="L70" s="68">
        <v>900</v>
      </c>
      <c r="M70" s="73">
        <v>0.01</v>
      </c>
      <c r="N70" s="73">
        <v>0.47</v>
      </c>
    </row>
    <row r="71" spans="2:14" ht="12.75">
      <c r="B71" s="72" t="s">
        <v>213</v>
      </c>
      <c r="C71" s="68">
        <v>600</v>
      </c>
      <c r="D71" s="69">
        <v>557</v>
      </c>
      <c r="E71" s="68">
        <v>525</v>
      </c>
      <c r="F71" s="70">
        <v>-0.05</v>
      </c>
      <c r="G71" s="70">
        <v>0.02</v>
      </c>
      <c r="H71" s="71"/>
      <c r="I71" s="74" t="s">
        <v>214</v>
      </c>
      <c r="J71" s="68">
        <v>1150</v>
      </c>
      <c r="K71" s="69">
        <v>740</v>
      </c>
      <c r="L71" s="68">
        <v>500</v>
      </c>
      <c r="M71" s="70">
        <v>-0.09</v>
      </c>
      <c r="N71" s="73" t="s">
        <v>215</v>
      </c>
    </row>
    <row r="72" spans="2:14" ht="12.75">
      <c r="B72" s="72" t="s">
        <v>216</v>
      </c>
      <c r="C72" s="68">
        <v>600</v>
      </c>
      <c r="D72" s="69">
        <v>570</v>
      </c>
      <c r="E72" s="68">
        <v>550</v>
      </c>
      <c r="F72" s="70">
        <v>-0.04</v>
      </c>
      <c r="G72" s="70">
        <v>0.03</v>
      </c>
      <c r="H72" s="71"/>
      <c r="I72" s="75"/>
      <c r="J72" s="68"/>
      <c r="K72" s="69"/>
      <c r="L72" s="68"/>
      <c r="M72" s="70"/>
      <c r="N72" s="76"/>
    </row>
    <row r="73" spans="2:14" ht="12.75">
      <c r="B73" s="72" t="s">
        <v>217</v>
      </c>
      <c r="C73" s="68">
        <v>520</v>
      </c>
      <c r="D73" s="69">
        <v>466</v>
      </c>
      <c r="E73" s="68">
        <v>380</v>
      </c>
      <c r="F73" s="70">
        <v>-0.03</v>
      </c>
      <c r="G73" s="70">
        <v>-0.05</v>
      </c>
      <c r="H73" s="71"/>
      <c r="I73" s="75" t="s">
        <v>218</v>
      </c>
      <c r="J73" s="68"/>
      <c r="K73" s="69"/>
      <c r="L73" s="68"/>
      <c r="M73" s="70"/>
      <c r="N73" s="76"/>
    </row>
    <row r="74" spans="2:14" ht="12.75">
      <c r="B74" s="72" t="s">
        <v>219</v>
      </c>
      <c r="C74" s="68">
        <v>560</v>
      </c>
      <c r="D74" s="69">
        <v>518</v>
      </c>
      <c r="E74" s="68">
        <v>500</v>
      </c>
      <c r="F74" s="70">
        <v>-0.04</v>
      </c>
      <c r="G74" s="70">
        <v>0</v>
      </c>
      <c r="H74" s="71"/>
      <c r="I74" s="72" t="s">
        <v>220</v>
      </c>
      <c r="J74" s="68">
        <v>650</v>
      </c>
      <c r="K74" s="69">
        <v>586</v>
      </c>
      <c r="L74" s="68">
        <v>540</v>
      </c>
      <c r="M74" s="77">
        <v>0</v>
      </c>
      <c r="N74" s="70">
        <v>0.11</v>
      </c>
    </row>
    <row r="75" spans="2:14" ht="12.75">
      <c r="B75" s="67"/>
      <c r="C75" s="78"/>
      <c r="D75" s="79"/>
      <c r="E75" s="78"/>
      <c r="F75" s="80"/>
      <c r="G75" s="80"/>
      <c r="H75" s="71"/>
      <c r="I75" s="72" t="s">
        <v>212</v>
      </c>
      <c r="J75" s="68">
        <v>600</v>
      </c>
      <c r="K75" s="69">
        <v>497</v>
      </c>
      <c r="L75" s="68">
        <v>325</v>
      </c>
      <c r="M75" s="70">
        <v>0</v>
      </c>
      <c r="N75" s="81">
        <v>0.08</v>
      </c>
    </row>
    <row r="76" spans="2:14" ht="12.75">
      <c r="B76" s="67" t="s">
        <v>221</v>
      </c>
      <c r="C76" s="78"/>
      <c r="D76" s="79"/>
      <c r="E76" s="78"/>
      <c r="F76" s="80"/>
      <c r="G76" s="80"/>
      <c r="H76" s="71"/>
      <c r="I76" s="72" t="s">
        <v>222</v>
      </c>
      <c r="J76" s="68">
        <v>177</v>
      </c>
      <c r="K76" s="69">
        <v>139</v>
      </c>
      <c r="L76" s="68">
        <v>100</v>
      </c>
      <c r="M76" s="70">
        <v>0</v>
      </c>
      <c r="N76" s="70">
        <v>0.16</v>
      </c>
    </row>
    <row r="77" spans="2:14" ht="12.75">
      <c r="B77" s="72" t="s">
        <v>220</v>
      </c>
      <c r="C77" s="68">
        <v>550</v>
      </c>
      <c r="D77" s="69">
        <v>467</v>
      </c>
      <c r="E77" s="68">
        <v>400</v>
      </c>
      <c r="F77" s="70">
        <v>-0.01</v>
      </c>
      <c r="G77" s="70">
        <v>-0.01</v>
      </c>
      <c r="H77" s="71"/>
      <c r="I77" s="72" t="s">
        <v>223</v>
      </c>
      <c r="J77" s="68">
        <v>26</v>
      </c>
      <c r="K77" s="69">
        <v>22</v>
      </c>
      <c r="L77" s="68">
        <v>16</v>
      </c>
      <c r="M77" s="73">
        <v>0</v>
      </c>
      <c r="N77" s="73">
        <v>0</v>
      </c>
    </row>
    <row r="78" spans="2:14" ht="12.75">
      <c r="B78" s="72" t="s">
        <v>212</v>
      </c>
      <c r="C78" s="68">
        <v>475</v>
      </c>
      <c r="D78" s="69">
        <v>391</v>
      </c>
      <c r="E78" s="68">
        <v>300</v>
      </c>
      <c r="F78" s="70">
        <v>-0.02</v>
      </c>
      <c r="G78" s="70">
        <v>-0.11</v>
      </c>
      <c r="H78" s="71"/>
      <c r="I78" s="72"/>
      <c r="J78" s="68"/>
      <c r="K78" s="69"/>
      <c r="L78" s="68"/>
      <c r="M78" s="73"/>
      <c r="N78" s="70"/>
    </row>
    <row r="79" spans="2:14" ht="12.75">
      <c r="B79" s="72" t="s">
        <v>214</v>
      </c>
      <c r="C79" s="68">
        <v>500</v>
      </c>
      <c r="D79" s="69">
        <v>423</v>
      </c>
      <c r="E79" s="68">
        <v>375</v>
      </c>
      <c r="F79" s="70">
        <v>0.06</v>
      </c>
      <c r="G79" s="70">
        <v>0.13</v>
      </c>
      <c r="H79" s="71"/>
      <c r="I79" s="82" t="s">
        <v>224</v>
      </c>
      <c r="J79" s="68"/>
      <c r="K79" s="69"/>
      <c r="L79" s="68"/>
      <c r="M79" s="70"/>
      <c r="N79" s="70"/>
    </row>
    <row r="80" spans="2:14" ht="12.75">
      <c r="B80" s="72" t="s">
        <v>225</v>
      </c>
      <c r="C80" s="68">
        <v>427</v>
      </c>
      <c r="D80" s="69">
        <v>400</v>
      </c>
      <c r="E80" s="68">
        <v>360</v>
      </c>
      <c r="F80" s="70">
        <v>-0.01</v>
      </c>
      <c r="G80" s="70">
        <v>-0.01</v>
      </c>
      <c r="H80" s="71"/>
      <c r="I80" s="74" t="s">
        <v>220</v>
      </c>
      <c r="J80" s="68">
        <v>450</v>
      </c>
      <c r="K80" s="69">
        <v>383</v>
      </c>
      <c r="L80" s="68">
        <v>250</v>
      </c>
      <c r="M80" s="73">
        <v>0</v>
      </c>
      <c r="N80" s="73" t="s">
        <v>215</v>
      </c>
    </row>
    <row r="81" spans="2:14" ht="12.75">
      <c r="B81" s="83" t="s">
        <v>226</v>
      </c>
      <c r="C81" s="68">
        <v>59</v>
      </c>
      <c r="D81" s="69">
        <v>57</v>
      </c>
      <c r="E81" s="68">
        <v>55</v>
      </c>
      <c r="F81" s="73">
        <v>0</v>
      </c>
      <c r="G81" s="73" t="s">
        <v>215</v>
      </c>
      <c r="H81" s="71"/>
      <c r="I81" s="74" t="s">
        <v>212</v>
      </c>
      <c r="J81" s="68">
        <v>425</v>
      </c>
      <c r="K81" s="69">
        <v>330</v>
      </c>
      <c r="L81" s="68">
        <v>200</v>
      </c>
      <c r="M81" s="73">
        <v>0</v>
      </c>
      <c r="N81" s="70">
        <v>-0.06</v>
      </c>
    </row>
    <row r="82" spans="2:14" ht="12.75">
      <c r="B82" s="72" t="s">
        <v>222</v>
      </c>
      <c r="C82" s="68">
        <v>132</v>
      </c>
      <c r="D82" s="69">
        <v>104</v>
      </c>
      <c r="E82" s="68">
        <v>50</v>
      </c>
      <c r="F82" s="73">
        <v>0</v>
      </c>
      <c r="G82" s="70">
        <v>0.08</v>
      </c>
      <c r="H82" s="71"/>
      <c r="I82" s="74" t="s">
        <v>222</v>
      </c>
      <c r="J82" s="68">
        <v>125</v>
      </c>
      <c r="K82" s="69">
        <v>108</v>
      </c>
      <c r="L82" s="68">
        <v>100</v>
      </c>
      <c r="M82" s="73">
        <v>0</v>
      </c>
      <c r="N82" s="73" t="s">
        <v>215</v>
      </c>
    </row>
    <row r="83" spans="2:14" ht="12.75">
      <c r="B83" s="75"/>
      <c r="C83" s="68"/>
      <c r="D83" s="69"/>
      <c r="E83" s="68"/>
      <c r="F83" s="70"/>
      <c r="G83" s="70"/>
      <c r="H83" s="84"/>
      <c r="I83" s="74" t="s">
        <v>223</v>
      </c>
      <c r="J83" s="68">
        <v>20</v>
      </c>
      <c r="K83" s="69">
        <v>20</v>
      </c>
      <c r="L83" s="68">
        <v>20</v>
      </c>
      <c r="M83" s="73">
        <v>0</v>
      </c>
      <c r="N83" s="73" t="s">
        <v>215</v>
      </c>
    </row>
    <row r="84" spans="2:14" ht="12.75">
      <c r="B84" s="75" t="s">
        <v>227</v>
      </c>
      <c r="C84" s="68"/>
      <c r="D84" s="69"/>
      <c r="E84" s="68"/>
      <c r="F84" s="70"/>
      <c r="G84" s="70"/>
      <c r="H84" s="84"/>
      <c r="I84" s="82"/>
      <c r="J84" s="68"/>
      <c r="K84" s="69"/>
      <c r="L84" s="68"/>
      <c r="M84" s="70"/>
      <c r="N84" s="70"/>
    </row>
    <row r="85" spans="2:14" ht="12.75">
      <c r="B85" s="72" t="s">
        <v>211</v>
      </c>
      <c r="C85" s="68">
        <v>350</v>
      </c>
      <c r="D85" s="69">
        <v>289</v>
      </c>
      <c r="E85" s="68">
        <v>210</v>
      </c>
      <c r="F85" s="70">
        <v>-0.02</v>
      </c>
      <c r="G85" s="70">
        <v>-0.1</v>
      </c>
      <c r="H85" s="71"/>
      <c r="I85" s="82" t="s">
        <v>228</v>
      </c>
      <c r="J85" s="68"/>
      <c r="K85" s="69"/>
      <c r="L85" s="68"/>
      <c r="M85" s="70"/>
      <c r="N85" s="70"/>
    </row>
    <row r="86" spans="2:14" ht="12.75">
      <c r="B86" s="72" t="s">
        <v>213</v>
      </c>
      <c r="C86" s="68">
        <v>300</v>
      </c>
      <c r="D86" s="69">
        <v>274</v>
      </c>
      <c r="E86" s="68">
        <v>210</v>
      </c>
      <c r="F86" s="70">
        <v>-0.04</v>
      </c>
      <c r="G86" s="70">
        <v>-0.14</v>
      </c>
      <c r="H86" s="71"/>
      <c r="I86" s="74" t="s">
        <v>223</v>
      </c>
      <c r="J86" s="68">
        <v>20</v>
      </c>
      <c r="K86" s="69">
        <v>19</v>
      </c>
      <c r="L86" s="68">
        <v>18</v>
      </c>
      <c r="M86" s="73">
        <v>0</v>
      </c>
      <c r="N86" s="73" t="s">
        <v>215</v>
      </c>
    </row>
    <row r="87" spans="2:14" ht="12.75">
      <c r="B87" s="72" t="s">
        <v>229</v>
      </c>
      <c r="C87" s="68">
        <v>300</v>
      </c>
      <c r="D87" s="69">
        <v>270</v>
      </c>
      <c r="E87" s="68">
        <v>200</v>
      </c>
      <c r="F87" s="70">
        <v>-0.02</v>
      </c>
      <c r="G87" s="70">
        <v>-0.09</v>
      </c>
      <c r="H87" s="71"/>
      <c r="I87" s="54"/>
      <c r="J87" s="52"/>
      <c r="K87" s="52"/>
      <c r="L87" s="52"/>
      <c r="M87" s="63"/>
      <c r="N87" s="63"/>
    </row>
    <row r="88" spans="2:14" ht="12.75">
      <c r="B88" s="72" t="s">
        <v>219</v>
      </c>
      <c r="C88" s="68">
        <v>300</v>
      </c>
      <c r="D88" s="69">
        <v>262</v>
      </c>
      <c r="E88" s="68">
        <v>200</v>
      </c>
      <c r="F88" s="70">
        <v>-0.03</v>
      </c>
      <c r="G88" s="70">
        <v>-0.17</v>
      </c>
      <c r="H88" s="71"/>
      <c r="I88" s="54"/>
      <c r="J88" s="52"/>
      <c r="K88" s="52"/>
      <c r="L88" s="52"/>
      <c r="M88" s="63"/>
      <c r="N88" s="63"/>
    </row>
    <row r="89" spans="2:14" ht="12.75">
      <c r="B89" s="72"/>
      <c r="C89" s="68"/>
      <c r="D89" s="69"/>
      <c r="E89" s="68"/>
      <c r="F89" s="70"/>
      <c r="G89" s="70"/>
      <c r="H89" s="54"/>
      <c r="I89" s="54"/>
      <c r="J89" s="52"/>
      <c r="K89" s="52"/>
      <c r="L89" s="52"/>
      <c r="M89" s="63"/>
      <c r="N89" s="63"/>
    </row>
    <row r="90" spans="2:14" ht="12.75">
      <c r="B90" s="67" t="s">
        <v>230</v>
      </c>
      <c r="C90" s="78"/>
      <c r="D90" s="79"/>
      <c r="E90" s="78"/>
      <c r="F90" s="85"/>
      <c r="G90" s="85"/>
      <c r="H90" s="54"/>
      <c r="I90" s="54"/>
      <c r="J90" s="52"/>
      <c r="K90" s="52"/>
      <c r="L90" s="52"/>
      <c r="M90" s="63"/>
      <c r="N90" s="63"/>
    </row>
    <row r="91" spans="2:14" ht="12.75">
      <c r="B91" s="72" t="s">
        <v>220</v>
      </c>
      <c r="C91" s="68">
        <v>350</v>
      </c>
      <c r="D91" s="69">
        <v>312</v>
      </c>
      <c r="E91" s="68">
        <v>245</v>
      </c>
      <c r="F91" s="70">
        <v>-0.01</v>
      </c>
      <c r="G91" s="70">
        <v>-0.02</v>
      </c>
      <c r="H91" s="54"/>
      <c r="I91" s="54"/>
      <c r="J91" s="52"/>
      <c r="K91" s="52"/>
      <c r="L91" s="52"/>
      <c r="M91" s="63"/>
      <c r="N91" s="63"/>
    </row>
    <row r="92" spans="2:14" ht="12.75">
      <c r="B92" s="86" t="s">
        <v>212</v>
      </c>
      <c r="C92" s="68">
        <v>350</v>
      </c>
      <c r="D92" s="69">
        <v>262</v>
      </c>
      <c r="E92" s="68">
        <v>220</v>
      </c>
      <c r="F92" s="70">
        <v>0</v>
      </c>
      <c r="G92" s="70">
        <v>-0.06</v>
      </c>
      <c r="H92" s="54"/>
      <c r="I92" s="54"/>
      <c r="J92" s="52"/>
      <c r="K92" s="52"/>
      <c r="L92" s="52"/>
      <c r="M92" s="63"/>
      <c r="N92" s="63"/>
    </row>
    <row r="93" spans="2:14" ht="12.75">
      <c r="B93" s="72" t="s">
        <v>214</v>
      </c>
      <c r="C93" s="68">
        <v>350</v>
      </c>
      <c r="D93" s="69">
        <v>236</v>
      </c>
      <c r="E93" s="68">
        <v>158</v>
      </c>
      <c r="F93" s="70">
        <v>0</v>
      </c>
      <c r="G93" s="70">
        <v>-0.03</v>
      </c>
      <c r="H93" s="54"/>
      <c r="I93" s="54"/>
      <c r="J93" s="52"/>
      <c r="K93" s="52"/>
      <c r="L93" s="52"/>
      <c r="M93" s="63"/>
      <c r="N93" s="63"/>
    </row>
    <row r="94" spans="2:14" ht="12.75">
      <c r="B94" s="72" t="s">
        <v>225</v>
      </c>
      <c r="C94" s="68">
        <v>238</v>
      </c>
      <c r="D94" s="69">
        <v>214</v>
      </c>
      <c r="E94" s="68">
        <v>180</v>
      </c>
      <c r="F94" s="70">
        <v>0.03</v>
      </c>
      <c r="G94" s="70">
        <v>-0.13</v>
      </c>
      <c r="H94" s="54"/>
      <c r="I94" s="54"/>
      <c r="J94" s="52"/>
      <c r="K94" s="52"/>
      <c r="L94" s="52"/>
      <c r="M94" s="63"/>
      <c r="N94" s="63"/>
    </row>
    <row r="95" spans="2:14" ht="12.75">
      <c r="B95" s="83" t="s">
        <v>226</v>
      </c>
      <c r="C95" s="68">
        <v>34</v>
      </c>
      <c r="D95" s="69">
        <v>33</v>
      </c>
      <c r="E95" s="68">
        <v>33</v>
      </c>
      <c r="F95" s="70">
        <v>0.06</v>
      </c>
      <c r="G95" s="73" t="s">
        <v>215</v>
      </c>
      <c r="H95" s="54"/>
      <c r="I95" s="54"/>
      <c r="J95" s="52"/>
      <c r="K95" s="52"/>
      <c r="L95" s="52"/>
      <c r="M95" s="63"/>
      <c r="N95" s="63"/>
    </row>
    <row r="96" spans="2:14" ht="12.75">
      <c r="B96" s="72" t="s">
        <v>222</v>
      </c>
      <c r="C96" s="68">
        <v>125</v>
      </c>
      <c r="D96" s="69">
        <v>92</v>
      </c>
      <c r="E96" s="68">
        <v>50</v>
      </c>
      <c r="F96" s="73">
        <v>0</v>
      </c>
      <c r="G96" s="70">
        <v>0.1</v>
      </c>
      <c r="H96" s="54"/>
      <c r="I96" s="54"/>
      <c r="J96" s="52"/>
      <c r="K96" s="52"/>
      <c r="L96" s="52"/>
      <c r="M96" s="63"/>
      <c r="N96" s="63"/>
    </row>
    <row r="97" spans="2:14" ht="12.75">
      <c r="B97" s="72"/>
      <c r="C97" s="68"/>
      <c r="D97" s="69"/>
      <c r="E97" s="68"/>
      <c r="F97" s="73"/>
      <c r="G97" s="70"/>
      <c r="H97" s="54"/>
      <c r="I97" s="54"/>
      <c r="J97" s="52"/>
      <c r="K97" s="52"/>
      <c r="L97" s="52"/>
      <c r="M97" s="63"/>
      <c r="N97" s="63"/>
    </row>
    <row r="98" spans="2:14" ht="12.75">
      <c r="B98" s="54"/>
      <c r="C98" s="52"/>
      <c r="D98" s="52"/>
      <c r="E98" s="52"/>
      <c r="F98" s="63"/>
      <c r="G98" s="63"/>
      <c r="H98" s="54"/>
      <c r="I98" s="54"/>
      <c r="J98" s="52"/>
      <c r="K98" s="52"/>
      <c r="L98" s="52"/>
      <c r="M98" s="63"/>
      <c r="N98" s="63"/>
    </row>
    <row r="99" spans="2:14" ht="12.75">
      <c r="B99" s="54"/>
      <c r="C99" s="52"/>
      <c r="D99" s="52"/>
      <c r="E99" s="52"/>
      <c r="F99" s="63"/>
      <c r="G99" s="63"/>
      <c r="H99" s="54"/>
      <c r="I99" s="54"/>
      <c r="J99" s="52"/>
      <c r="K99" s="52"/>
      <c r="L99" s="52"/>
      <c r="M99" s="63"/>
      <c r="N99" s="63"/>
    </row>
    <row r="100" spans="2:14" ht="15">
      <c r="B100" s="91"/>
      <c r="C100" s="92"/>
      <c r="D100" s="89"/>
      <c r="E100" s="89"/>
      <c r="F100" s="90"/>
      <c r="G100" s="90"/>
      <c r="H100" s="54"/>
      <c r="I100" s="87"/>
      <c r="J100" s="88"/>
      <c r="K100" s="88"/>
      <c r="L100" s="88"/>
      <c r="M100" s="88"/>
      <c r="N100" s="88"/>
    </row>
    <row r="101" spans="2:14" ht="15">
      <c r="B101" s="91"/>
      <c r="C101" s="93"/>
      <c r="D101" s="88"/>
      <c r="E101" s="88"/>
      <c r="F101" s="88"/>
      <c r="G101" s="88"/>
      <c r="H101" s="87"/>
      <c r="I101" s="87"/>
      <c r="J101" s="88"/>
      <c r="K101" s="88"/>
      <c r="L101" s="88"/>
      <c r="M101" s="88"/>
      <c r="N101" s="88"/>
    </row>
    <row r="102" spans="2:3" ht="14.25">
      <c r="B102" s="94"/>
      <c r="C102" s="94"/>
    </row>
    <row r="103" spans="2:3" ht="14.25">
      <c r="B103" s="94"/>
      <c r="C103" s="94"/>
    </row>
    <row r="104" spans="2:3" ht="14.25">
      <c r="B104" s="94"/>
      <c r="C104" s="94"/>
    </row>
    <row r="105" spans="2:3" ht="14.25">
      <c r="B105" s="94"/>
      <c r="C105" s="94"/>
    </row>
    <row r="106" spans="2:3" ht="14.25">
      <c r="B106" s="94"/>
      <c r="C106" s="94"/>
    </row>
    <row r="107" spans="2:3" ht="14.25">
      <c r="B107" s="94"/>
      <c r="C107" s="94"/>
    </row>
    <row r="108" spans="2:3" ht="14.25">
      <c r="B108" s="94"/>
      <c r="C108" s="94"/>
    </row>
    <row r="109" spans="2:3" ht="14.25">
      <c r="B109" s="94"/>
      <c r="C109" s="94"/>
    </row>
    <row r="110" spans="2:3" ht="14.25">
      <c r="B110" s="94"/>
      <c r="C110" s="94"/>
    </row>
    <row r="111" spans="2:3" ht="14.25">
      <c r="B111" s="94"/>
      <c r="C111" s="94"/>
    </row>
    <row r="112" spans="2:3" ht="14.25">
      <c r="B112" s="94"/>
      <c r="C112" s="94"/>
    </row>
    <row r="113" spans="2:3" ht="14.25">
      <c r="B113" s="94"/>
      <c r="C113" s="94"/>
    </row>
    <row r="114" spans="2:3" ht="14.25">
      <c r="B114" s="94"/>
      <c r="C114" s="94"/>
    </row>
    <row r="115" spans="2:3" ht="14.25">
      <c r="B115" s="94"/>
      <c r="C115" s="94"/>
    </row>
    <row r="116" spans="2:3" ht="14.25">
      <c r="B116" s="94"/>
      <c r="C116" s="94"/>
    </row>
    <row r="117" spans="2:3" ht="14.25">
      <c r="B117" s="94"/>
      <c r="C117" s="94"/>
    </row>
    <row r="118" spans="2:3" ht="14.25">
      <c r="B118" s="94"/>
      <c r="C118" s="94"/>
    </row>
  </sheetData>
  <sheetProtection/>
  <printOptions/>
  <pageMargins left="0.75" right="0.75" top="1" bottom="1" header="0.5" footer="0.5"/>
  <pageSetup fitToHeight="2" orientation="portrait" scale="67" r:id="rId3"/>
  <headerFooter alignWithMargins="0">
    <oddHeader>&amp;LFile: &amp;F, Sheet: &amp;A&amp;R&amp;D, &amp;T</oddHeader>
    <oddFooter>&amp;L&amp;"Arial,Bold"Prepared by:
Resource Consulting</oddFooter>
  </headerFooter>
  <rowBreaks count="1" manualBreakCount="1">
    <brk id="43" min="1" max="6" man="1"/>
  </rowBreaks>
  <legacyDrawing r:id="rId2"/>
</worksheet>
</file>

<file path=xl/worksheets/sheet5.xml><?xml version="1.0" encoding="utf-8"?>
<worksheet xmlns="http://schemas.openxmlformats.org/spreadsheetml/2006/main" xmlns:r="http://schemas.openxmlformats.org/officeDocument/2006/relationships">
  <sheetPr codeName="Sheet11"/>
  <dimension ref="C2:M130"/>
  <sheetViews>
    <sheetView zoomScalePageLayoutView="0" workbookViewId="0" topLeftCell="A3">
      <selection activeCell="A3" sqref="A3"/>
    </sheetView>
  </sheetViews>
  <sheetFormatPr defaultColWidth="9.140625" defaultRowHeight="12.75"/>
  <cols>
    <col min="1" max="1" width="2.28125" style="509" customWidth="1"/>
    <col min="2" max="2" width="3.421875" style="509" customWidth="1"/>
    <col min="3" max="3" width="29.8515625" style="509" customWidth="1"/>
    <col min="4" max="4" width="16.57421875" style="509" customWidth="1"/>
    <col min="5" max="5" width="13.421875" style="509" customWidth="1"/>
    <col min="6" max="6" width="32.57421875" style="509" customWidth="1"/>
    <col min="7" max="7" width="31.28125" style="509" customWidth="1"/>
    <col min="8" max="16384" width="9.140625" style="509" customWidth="1"/>
  </cols>
  <sheetData>
    <row r="1" ht="12.75" hidden="1"/>
    <row r="2" spans="3:7" ht="12.75" hidden="1">
      <c r="C2" s="827" t="s">
        <v>773</v>
      </c>
      <c r="D2" s="107" t="s">
        <v>774</v>
      </c>
      <c r="E2" s="575" t="s">
        <v>775</v>
      </c>
      <c r="F2" s="5"/>
      <c r="G2" s="265"/>
    </row>
    <row r="4" ht="26.25" customHeight="1">
      <c r="C4" s="849" t="s">
        <v>5</v>
      </c>
    </row>
    <row r="5" ht="90" customHeight="1" thickBot="1">
      <c r="C5" s="149"/>
    </row>
    <row r="6" spans="3:7" ht="20.25" customHeight="1" thickBot="1">
      <c r="C6" s="479" t="s">
        <v>102</v>
      </c>
      <c r="D6" s="479" t="s">
        <v>83</v>
      </c>
      <c r="E6" s="479" t="s">
        <v>84</v>
      </c>
      <c r="F6" s="479" t="s">
        <v>144</v>
      </c>
      <c r="G6" s="479" t="s">
        <v>145</v>
      </c>
    </row>
    <row r="7" spans="3:7" ht="18" customHeight="1">
      <c r="C7" s="572"/>
      <c r="D7" s="261"/>
      <c r="E7" s="829"/>
      <c r="F7" s="262"/>
      <c r="G7" s="263"/>
    </row>
    <row r="8" spans="3:7" ht="18" customHeight="1">
      <c r="C8" s="815" t="s">
        <v>790</v>
      </c>
      <c r="D8" s="34"/>
      <c r="E8" s="816"/>
      <c r="F8" s="817"/>
      <c r="G8" s="818"/>
    </row>
    <row r="9" spans="3:7" ht="18" customHeight="1">
      <c r="C9" s="819" t="s">
        <v>260</v>
      </c>
      <c r="D9" s="34" t="s">
        <v>247</v>
      </c>
      <c r="E9" s="575">
        <v>1.8</v>
      </c>
      <c r="F9" s="817"/>
      <c r="G9" s="818"/>
    </row>
    <row r="10" spans="3:7" ht="18" customHeight="1">
      <c r="C10" s="819" t="s">
        <v>261</v>
      </c>
      <c r="D10" s="34" t="s">
        <v>247</v>
      </c>
      <c r="E10" s="575">
        <v>1.7</v>
      </c>
      <c r="F10" s="817"/>
      <c r="G10" s="818"/>
    </row>
    <row r="11" spans="3:7" ht="18" customHeight="1">
      <c r="C11" s="819"/>
      <c r="D11" s="34"/>
      <c r="E11" s="816"/>
      <c r="F11" s="817"/>
      <c r="G11" s="818"/>
    </row>
    <row r="12" spans="3:7" ht="18" customHeight="1">
      <c r="C12" s="820" t="s">
        <v>791</v>
      </c>
      <c r="D12" s="34"/>
      <c r="E12" s="816"/>
      <c r="F12" s="817"/>
      <c r="G12" s="818"/>
    </row>
    <row r="13" spans="3:7" ht="27" customHeight="1">
      <c r="C13" s="819" t="s">
        <v>154</v>
      </c>
      <c r="D13" s="34" t="s">
        <v>93</v>
      </c>
      <c r="E13" s="821">
        <v>2500</v>
      </c>
      <c r="F13" s="817" t="s">
        <v>155</v>
      </c>
      <c r="G13" s="818" t="s">
        <v>156</v>
      </c>
    </row>
    <row r="14" spans="3:7" ht="57.75" customHeight="1">
      <c r="C14" s="819" t="s">
        <v>157</v>
      </c>
      <c r="D14" s="34" t="s">
        <v>93</v>
      </c>
      <c r="E14" s="575">
        <v>500</v>
      </c>
      <c r="F14" s="817" t="s">
        <v>236</v>
      </c>
      <c r="G14" s="818"/>
    </row>
    <row r="15" spans="3:7" ht="31.5" customHeight="1">
      <c r="C15" s="819" t="s">
        <v>158</v>
      </c>
      <c r="D15" s="34" t="s">
        <v>93</v>
      </c>
      <c r="E15" s="575">
        <v>190</v>
      </c>
      <c r="F15" s="817" t="s">
        <v>240</v>
      </c>
      <c r="G15" s="818" t="s">
        <v>239</v>
      </c>
    </row>
    <row r="16" spans="3:7" ht="18" customHeight="1">
      <c r="C16" s="850"/>
      <c r="D16" s="284"/>
      <c r="E16" s="830"/>
      <c r="F16" s="573"/>
      <c r="G16" s="574"/>
    </row>
    <row r="17" spans="3:7" ht="18" customHeight="1">
      <c r="C17" s="851" t="s">
        <v>772</v>
      </c>
      <c r="D17" s="496"/>
      <c r="E17" s="830"/>
      <c r="F17" s="573"/>
      <c r="G17" s="574"/>
    </row>
    <row r="18" spans="3:7" ht="18" customHeight="1">
      <c r="C18" s="827" t="s">
        <v>690</v>
      </c>
      <c r="D18" s="107" t="s">
        <v>88</v>
      </c>
      <c r="E18" s="516">
        <v>97.5</v>
      </c>
      <c r="F18" s="5"/>
      <c r="G18" s="266"/>
    </row>
    <row r="19" spans="3:7" ht="18" customHeight="1">
      <c r="C19" s="827" t="s">
        <v>707</v>
      </c>
      <c r="D19" s="107" t="s">
        <v>149</v>
      </c>
      <c r="E19" s="517">
        <v>0.111</v>
      </c>
      <c r="F19" s="5"/>
      <c r="G19" s="265"/>
    </row>
    <row r="20" spans="3:7" ht="18" customHeight="1">
      <c r="C20" s="827" t="s">
        <v>724</v>
      </c>
      <c r="D20" s="107" t="s">
        <v>149</v>
      </c>
      <c r="E20" s="517">
        <v>0.11</v>
      </c>
      <c r="F20" s="5"/>
      <c r="G20" s="265"/>
    </row>
    <row r="21" spans="3:7" ht="18" customHeight="1">
      <c r="C21" s="827" t="s">
        <v>33</v>
      </c>
      <c r="D21" s="107" t="s">
        <v>34</v>
      </c>
      <c r="E21" s="575">
        <v>0.51</v>
      </c>
      <c r="F21" s="5"/>
      <c r="G21" s="265"/>
    </row>
    <row r="22" spans="3:7" ht="18" customHeight="1">
      <c r="C22" s="827"/>
      <c r="D22" s="107"/>
      <c r="E22" s="516"/>
      <c r="F22" s="5"/>
      <c r="G22" s="265"/>
    </row>
    <row r="23" spans="3:7" ht="18" customHeight="1">
      <c r="C23" s="852" t="s">
        <v>749</v>
      </c>
      <c r="D23" s="832"/>
      <c r="E23" s="831"/>
      <c r="F23" s="5"/>
      <c r="G23" s="265"/>
    </row>
    <row r="24" spans="3:7" ht="18" customHeight="1">
      <c r="C24" s="827" t="s">
        <v>818</v>
      </c>
      <c r="D24" s="107" t="s">
        <v>774</v>
      </c>
      <c r="E24" s="575"/>
      <c r="F24" s="5"/>
      <c r="G24" s="265"/>
    </row>
    <row r="25" spans="3:7" ht="18" customHeight="1">
      <c r="C25" s="827" t="s">
        <v>691</v>
      </c>
      <c r="D25" s="107" t="s">
        <v>149</v>
      </c>
      <c r="E25" s="516">
        <v>8.3</v>
      </c>
      <c r="F25" s="5"/>
      <c r="G25" s="265"/>
    </row>
    <row r="26" spans="3:7" ht="18" customHeight="1">
      <c r="C26" s="827" t="s">
        <v>813</v>
      </c>
      <c r="D26" s="107" t="s">
        <v>774</v>
      </c>
      <c r="E26" s="575"/>
      <c r="F26" s="5"/>
      <c r="G26" s="265"/>
    </row>
    <row r="27" spans="3:7" ht="18" customHeight="1">
      <c r="C27" s="827" t="s">
        <v>752</v>
      </c>
      <c r="D27" s="107" t="s">
        <v>774</v>
      </c>
      <c r="E27" s="516"/>
      <c r="F27" s="5"/>
      <c r="G27" s="265"/>
    </row>
    <row r="28" spans="3:7" ht="18" customHeight="1">
      <c r="C28" s="827" t="s">
        <v>817</v>
      </c>
      <c r="D28" s="107" t="s">
        <v>774</v>
      </c>
      <c r="E28" s="575"/>
      <c r="F28" s="5"/>
      <c r="G28" s="265"/>
    </row>
    <row r="29" spans="3:7" ht="18" customHeight="1">
      <c r="C29" s="827" t="s">
        <v>819</v>
      </c>
      <c r="D29" s="107" t="s">
        <v>820</v>
      </c>
      <c r="E29" s="575"/>
      <c r="F29" s="5"/>
      <c r="G29" s="265"/>
    </row>
    <row r="30" spans="3:7" ht="18" customHeight="1">
      <c r="C30" s="827" t="s">
        <v>753</v>
      </c>
      <c r="D30" s="107" t="s">
        <v>774</v>
      </c>
      <c r="E30" s="516"/>
      <c r="F30" s="5"/>
      <c r="G30" s="265"/>
    </row>
    <row r="31" spans="3:7" ht="18" customHeight="1">
      <c r="C31" s="827" t="s">
        <v>754</v>
      </c>
      <c r="D31" s="107" t="s">
        <v>774</v>
      </c>
      <c r="E31" s="516"/>
      <c r="F31" s="5"/>
      <c r="G31" s="265"/>
    </row>
    <row r="32" spans="3:7" ht="18" customHeight="1">
      <c r="C32" s="827" t="s">
        <v>755</v>
      </c>
      <c r="D32" s="107" t="s">
        <v>774</v>
      </c>
      <c r="E32" s="516"/>
      <c r="F32" s="5"/>
      <c r="G32" s="265"/>
    </row>
    <row r="33" spans="3:7" ht="18" customHeight="1">
      <c r="C33" s="827" t="s">
        <v>710</v>
      </c>
      <c r="D33" s="107" t="s">
        <v>730</v>
      </c>
      <c r="E33" s="516">
        <v>12.87</v>
      </c>
      <c r="F33" s="5"/>
      <c r="G33" s="265"/>
    </row>
    <row r="34" spans="3:7" ht="18" customHeight="1">
      <c r="C34" s="827" t="s">
        <v>816</v>
      </c>
      <c r="D34" s="107" t="s">
        <v>774</v>
      </c>
      <c r="E34" s="575"/>
      <c r="F34" s="5"/>
      <c r="G34" s="265"/>
    </row>
    <row r="35" spans="3:7" ht="18" customHeight="1">
      <c r="C35" s="827" t="s">
        <v>695</v>
      </c>
      <c r="D35" s="107" t="s">
        <v>728</v>
      </c>
      <c r="E35" s="516">
        <v>21.5</v>
      </c>
      <c r="F35" s="5"/>
      <c r="G35" s="265"/>
    </row>
    <row r="36" spans="3:7" ht="18" customHeight="1">
      <c r="C36" s="827" t="s">
        <v>815</v>
      </c>
      <c r="D36" s="107" t="s">
        <v>774</v>
      </c>
      <c r="E36" s="575"/>
      <c r="F36" s="5"/>
      <c r="G36" s="265"/>
    </row>
    <row r="37" spans="3:7" ht="18" customHeight="1">
      <c r="C37" s="827" t="s">
        <v>709</v>
      </c>
      <c r="D37" s="107" t="s">
        <v>149</v>
      </c>
      <c r="E37" s="516">
        <v>3.5</v>
      </c>
      <c r="F37" s="5"/>
      <c r="G37" s="265"/>
    </row>
    <row r="38" spans="3:7" ht="18" customHeight="1">
      <c r="C38" s="827" t="s">
        <v>814</v>
      </c>
      <c r="D38" s="107" t="s">
        <v>774</v>
      </c>
      <c r="E38" s="575"/>
      <c r="F38" s="5"/>
      <c r="G38" s="265"/>
    </row>
    <row r="39" spans="3:7" ht="18" customHeight="1">
      <c r="C39" s="827" t="s">
        <v>39</v>
      </c>
      <c r="D39" s="107" t="s">
        <v>40</v>
      </c>
      <c r="E39" s="575">
        <v>2.76</v>
      </c>
      <c r="F39" s="5"/>
      <c r="G39" s="265"/>
    </row>
    <row r="40" spans="3:7" ht="18" customHeight="1">
      <c r="C40" s="827"/>
      <c r="D40" s="107"/>
      <c r="E40" s="516"/>
      <c r="F40" s="5"/>
      <c r="G40" s="265"/>
    </row>
    <row r="41" spans="3:7" ht="18" customHeight="1">
      <c r="C41" s="852" t="s">
        <v>751</v>
      </c>
      <c r="D41" s="833"/>
      <c r="E41" s="831"/>
      <c r="F41" s="5"/>
      <c r="G41" s="265"/>
    </row>
    <row r="42" spans="3:7" ht="18" customHeight="1">
      <c r="C42" s="827" t="s">
        <v>701</v>
      </c>
      <c r="D42" s="107" t="s">
        <v>728</v>
      </c>
      <c r="E42" s="516">
        <v>5.15</v>
      </c>
      <c r="F42" s="5"/>
      <c r="G42" s="265"/>
    </row>
    <row r="43" spans="3:7" ht="18" customHeight="1">
      <c r="C43" s="827" t="s">
        <v>756</v>
      </c>
      <c r="D43" s="107" t="s">
        <v>803</v>
      </c>
      <c r="E43" s="575"/>
      <c r="F43" s="5"/>
      <c r="G43" s="265"/>
    </row>
    <row r="44" spans="3:7" ht="18" customHeight="1">
      <c r="C44" s="827" t="s">
        <v>35</v>
      </c>
      <c r="D44" s="107" t="s">
        <v>36</v>
      </c>
      <c r="E44" s="575">
        <v>125</v>
      </c>
      <c r="F44" s="5"/>
      <c r="G44" s="265"/>
    </row>
    <row r="45" spans="3:7" ht="18" customHeight="1">
      <c r="C45" s="827" t="s">
        <v>757</v>
      </c>
      <c r="D45" s="107" t="s">
        <v>803</v>
      </c>
      <c r="E45" s="575"/>
      <c r="F45" s="5"/>
      <c r="G45" s="265"/>
    </row>
    <row r="46" spans="3:7" ht="18" customHeight="1">
      <c r="C46" s="827" t="s">
        <v>827</v>
      </c>
      <c r="D46" s="107" t="s">
        <v>774</v>
      </c>
      <c r="E46" s="575"/>
      <c r="F46" s="5"/>
      <c r="G46" s="265"/>
    </row>
    <row r="47" spans="3:7" ht="18" customHeight="1">
      <c r="C47" s="827" t="s">
        <v>805</v>
      </c>
      <c r="D47" s="107" t="s">
        <v>774</v>
      </c>
      <c r="E47" s="575"/>
      <c r="F47" s="5"/>
      <c r="G47" s="265"/>
    </row>
    <row r="48" spans="3:7" ht="18" customHeight="1">
      <c r="C48" s="827" t="s">
        <v>804</v>
      </c>
      <c r="D48" s="107" t="s">
        <v>730</v>
      </c>
      <c r="E48" s="516">
        <v>3.31</v>
      </c>
      <c r="F48" s="5"/>
      <c r="G48" s="265"/>
    </row>
    <row r="49" spans="3:7" ht="18" customHeight="1">
      <c r="C49" s="827" t="s">
        <v>758</v>
      </c>
      <c r="D49" s="107" t="s">
        <v>803</v>
      </c>
      <c r="E49" s="575"/>
      <c r="F49" s="5"/>
      <c r="G49" s="265"/>
    </row>
    <row r="50" spans="3:7" ht="18" customHeight="1">
      <c r="C50" s="827" t="s">
        <v>821</v>
      </c>
      <c r="D50" s="107" t="s">
        <v>774</v>
      </c>
      <c r="E50" s="575"/>
      <c r="F50" s="5"/>
      <c r="G50" s="265"/>
    </row>
    <row r="51" spans="3:7" ht="18" customHeight="1">
      <c r="C51" s="827" t="s">
        <v>806</v>
      </c>
      <c r="D51" s="107" t="s">
        <v>803</v>
      </c>
      <c r="E51" s="575"/>
      <c r="F51" s="5"/>
      <c r="G51" s="265"/>
    </row>
    <row r="52" spans="3:7" ht="18" customHeight="1">
      <c r="C52" s="827" t="s">
        <v>826</v>
      </c>
      <c r="D52" s="107" t="s">
        <v>774</v>
      </c>
      <c r="E52" s="575"/>
      <c r="F52" s="5"/>
      <c r="G52" s="265"/>
    </row>
    <row r="53" spans="3:7" ht="18" customHeight="1">
      <c r="C53" s="827"/>
      <c r="D53" s="107"/>
      <c r="E53" s="516"/>
      <c r="F53" s="5"/>
      <c r="G53" s="265"/>
    </row>
    <row r="54" spans="3:7" ht="18" customHeight="1">
      <c r="C54" s="852" t="s">
        <v>750</v>
      </c>
      <c r="D54" s="833"/>
      <c r="E54" s="831"/>
      <c r="F54" s="5"/>
      <c r="G54" s="265"/>
    </row>
    <row r="55" spans="3:7" ht="18" customHeight="1">
      <c r="C55" s="827" t="s">
        <v>811</v>
      </c>
      <c r="D55" s="107" t="s">
        <v>774</v>
      </c>
      <c r="E55" s="575"/>
      <c r="F55" s="5"/>
      <c r="G55" s="265"/>
    </row>
    <row r="56" spans="3:7" ht="18" customHeight="1">
      <c r="C56" s="827" t="s">
        <v>825</v>
      </c>
      <c r="D56" s="107"/>
      <c r="E56" s="516"/>
      <c r="F56" s="5"/>
      <c r="G56" s="265"/>
    </row>
    <row r="57" spans="3:7" ht="18" customHeight="1">
      <c r="C57" s="827" t="s">
        <v>759</v>
      </c>
      <c r="D57" s="107"/>
      <c r="E57" s="516"/>
      <c r="F57" s="5"/>
      <c r="G57" s="265"/>
    </row>
    <row r="58" spans="3:7" ht="18" customHeight="1">
      <c r="C58" s="827" t="s">
        <v>807</v>
      </c>
      <c r="D58" s="107" t="s">
        <v>149</v>
      </c>
      <c r="E58" s="516">
        <v>2</v>
      </c>
      <c r="F58" s="5"/>
      <c r="G58" s="265"/>
    </row>
    <row r="59" spans="3:7" ht="18" customHeight="1">
      <c r="C59" s="827" t="s">
        <v>74</v>
      </c>
      <c r="D59" s="107" t="s">
        <v>34</v>
      </c>
      <c r="E59" s="575">
        <v>16.02</v>
      </c>
      <c r="F59" s="5"/>
      <c r="G59" s="265"/>
    </row>
    <row r="60" spans="3:7" ht="18" customHeight="1">
      <c r="C60" s="827" t="s">
        <v>810</v>
      </c>
      <c r="D60" s="107" t="s">
        <v>34</v>
      </c>
      <c r="E60" s="575">
        <v>6.35</v>
      </c>
      <c r="F60" s="5"/>
      <c r="G60" s="265"/>
    </row>
    <row r="61" spans="3:7" ht="18" customHeight="1">
      <c r="C61" s="827" t="s">
        <v>760</v>
      </c>
      <c r="D61" s="107"/>
      <c r="E61" s="516"/>
      <c r="F61" s="5"/>
      <c r="G61" s="265"/>
    </row>
    <row r="62" spans="3:7" ht="18" customHeight="1">
      <c r="C62" s="827" t="s">
        <v>761</v>
      </c>
      <c r="D62" s="107"/>
      <c r="E62" s="516"/>
      <c r="F62" s="5"/>
      <c r="G62" s="265"/>
    </row>
    <row r="63" spans="3:7" ht="18" customHeight="1">
      <c r="C63" s="827" t="s">
        <v>762</v>
      </c>
      <c r="D63" s="107"/>
      <c r="E63" s="516"/>
      <c r="F63" s="5"/>
      <c r="G63" s="265"/>
    </row>
    <row r="64" spans="3:7" ht="18" customHeight="1">
      <c r="C64" s="827" t="s">
        <v>808</v>
      </c>
      <c r="D64" s="107" t="s">
        <v>774</v>
      </c>
      <c r="E64" s="575"/>
      <c r="F64" s="5"/>
      <c r="G64" s="265"/>
    </row>
    <row r="65" spans="3:7" ht="18" customHeight="1">
      <c r="C65" s="827" t="s">
        <v>763</v>
      </c>
      <c r="D65" s="107"/>
      <c r="E65" s="516"/>
      <c r="F65" s="5"/>
      <c r="G65" s="265"/>
    </row>
    <row r="66" spans="3:7" ht="18" customHeight="1">
      <c r="C66" s="827" t="s">
        <v>37</v>
      </c>
      <c r="D66" s="107" t="s">
        <v>36</v>
      </c>
      <c r="E66" s="575">
        <v>41.56</v>
      </c>
      <c r="F66" s="5"/>
      <c r="G66" s="265"/>
    </row>
    <row r="67" spans="3:7" ht="18" customHeight="1">
      <c r="C67" s="827" t="s">
        <v>823</v>
      </c>
      <c r="D67" s="107"/>
      <c r="E67" s="516"/>
      <c r="F67" s="5"/>
      <c r="G67" s="265"/>
    </row>
    <row r="68" spans="3:7" ht="18" customHeight="1">
      <c r="C68" s="827" t="s">
        <v>708</v>
      </c>
      <c r="D68" s="107" t="s">
        <v>731</v>
      </c>
      <c r="E68" s="516">
        <v>6.75</v>
      </c>
      <c r="F68" s="5"/>
      <c r="G68" s="265"/>
    </row>
    <row r="69" spans="3:7" ht="18" customHeight="1">
      <c r="C69" s="827" t="s">
        <v>764</v>
      </c>
      <c r="D69" s="107"/>
      <c r="E69" s="516"/>
      <c r="F69" s="5"/>
      <c r="G69" s="265"/>
    </row>
    <row r="70" spans="3:7" ht="18" customHeight="1">
      <c r="C70" s="827" t="s">
        <v>809</v>
      </c>
      <c r="D70" s="107" t="s">
        <v>774</v>
      </c>
      <c r="E70" s="575"/>
      <c r="F70" s="5"/>
      <c r="G70" s="265"/>
    </row>
    <row r="71" spans="3:7" ht="18" customHeight="1">
      <c r="C71" s="827" t="s">
        <v>822</v>
      </c>
      <c r="D71" s="107" t="s">
        <v>774</v>
      </c>
      <c r="E71" s="575"/>
      <c r="F71" s="5"/>
      <c r="G71" s="265"/>
    </row>
    <row r="72" spans="3:7" ht="18" customHeight="1">
      <c r="C72" s="827" t="s">
        <v>824</v>
      </c>
      <c r="D72" s="107" t="s">
        <v>149</v>
      </c>
      <c r="E72" s="516">
        <v>20</v>
      </c>
      <c r="F72" s="5"/>
      <c r="G72" s="265"/>
    </row>
    <row r="73" spans="3:7" ht="18" customHeight="1">
      <c r="C73" s="827" t="s">
        <v>38</v>
      </c>
      <c r="D73" s="107" t="s">
        <v>36</v>
      </c>
      <c r="E73" s="575">
        <v>82.75</v>
      </c>
      <c r="F73" s="5"/>
      <c r="G73" s="265"/>
    </row>
    <row r="74" spans="3:7" ht="18" customHeight="1">
      <c r="C74" s="827" t="s">
        <v>812</v>
      </c>
      <c r="D74" s="107" t="s">
        <v>774</v>
      </c>
      <c r="E74" s="575"/>
      <c r="F74" s="5"/>
      <c r="G74" s="265"/>
    </row>
    <row r="75" spans="3:7" ht="18" customHeight="1">
      <c r="C75" s="826"/>
      <c r="D75" s="107"/>
      <c r="E75" s="516"/>
      <c r="F75" s="5"/>
      <c r="G75" s="265"/>
    </row>
    <row r="76" spans="3:7" ht="18" customHeight="1">
      <c r="C76" s="828" t="s">
        <v>735</v>
      </c>
      <c r="D76" s="833"/>
      <c r="E76" s="831"/>
      <c r="F76" s="5"/>
      <c r="G76" s="266"/>
    </row>
    <row r="77" spans="3:7" ht="18" customHeight="1">
      <c r="C77" s="827" t="s">
        <v>82</v>
      </c>
      <c r="D77" s="107" t="s">
        <v>729</v>
      </c>
      <c r="E77" s="575">
        <v>9</v>
      </c>
      <c r="F77" s="5"/>
      <c r="G77" s="265"/>
    </row>
    <row r="78" spans="3:7" ht="18" customHeight="1">
      <c r="C78" s="826" t="s">
        <v>705</v>
      </c>
      <c r="D78" s="107" t="s">
        <v>729</v>
      </c>
      <c r="E78" s="516">
        <v>5</v>
      </c>
      <c r="F78" s="17"/>
      <c r="G78" s="275"/>
    </row>
    <row r="79" spans="3:13" ht="18" customHeight="1">
      <c r="C79" s="826" t="s">
        <v>723</v>
      </c>
      <c r="D79" s="107" t="s">
        <v>149</v>
      </c>
      <c r="E79" s="517">
        <v>0.165</v>
      </c>
      <c r="F79" s="5"/>
      <c r="G79" s="265"/>
      <c r="K79" s="512"/>
      <c r="M79" s="512"/>
    </row>
    <row r="80" spans="3:13" ht="18" customHeight="1">
      <c r="C80" s="827" t="s">
        <v>43</v>
      </c>
      <c r="D80" s="107" t="s">
        <v>149</v>
      </c>
      <c r="E80" s="575">
        <v>0.47</v>
      </c>
      <c r="F80" s="5"/>
      <c r="G80" s="265"/>
      <c r="K80" s="512"/>
      <c r="M80" s="512"/>
    </row>
    <row r="81" spans="3:7" ht="18" customHeight="1">
      <c r="C81" s="826" t="s">
        <v>722</v>
      </c>
      <c r="D81" s="107" t="s">
        <v>729</v>
      </c>
      <c r="E81" s="516">
        <v>5</v>
      </c>
      <c r="F81" s="5"/>
      <c r="G81" s="265"/>
    </row>
    <row r="82" spans="3:7" ht="18" customHeight="1">
      <c r="C82" s="826" t="s">
        <v>257</v>
      </c>
      <c r="D82" s="107" t="s">
        <v>729</v>
      </c>
      <c r="E82" s="516">
        <v>6</v>
      </c>
      <c r="F82" s="5"/>
      <c r="G82" s="265"/>
    </row>
    <row r="83" spans="3:7" ht="18" customHeight="1">
      <c r="C83" s="827" t="s">
        <v>44</v>
      </c>
      <c r="D83" s="107" t="s">
        <v>729</v>
      </c>
      <c r="E83" s="575">
        <v>13</v>
      </c>
      <c r="F83" s="5"/>
      <c r="G83" s="265"/>
    </row>
    <row r="84" spans="3:7" ht="18" customHeight="1">
      <c r="C84" s="827" t="s">
        <v>47</v>
      </c>
      <c r="D84" s="107" t="s">
        <v>68</v>
      </c>
      <c r="E84" s="575">
        <v>200</v>
      </c>
      <c r="F84" s="5"/>
      <c r="G84" s="265"/>
    </row>
    <row r="85" spans="3:7" ht="18" customHeight="1">
      <c r="C85" s="826"/>
      <c r="D85" s="107"/>
      <c r="E85" s="516"/>
      <c r="F85" s="5"/>
      <c r="G85" s="265"/>
    </row>
    <row r="86" spans="3:7" ht="18" customHeight="1">
      <c r="C86" s="828" t="s">
        <v>736</v>
      </c>
      <c r="D86" s="107"/>
      <c r="E86" s="516"/>
      <c r="F86" s="5"/>
      <c r="G86" s="265"/>
    </row>
    <row r="87" spans="3:7" ht="18" customHeight="1">
      <c r="C87" s="826" t="s">
        <v>703</v>
      </c>
      <c r="D87" s="107" t="s">
        <v>93</v>
      </c>
      <c r="E87" s="516">
        <v>25.55</v>
      </c>
      <c r="F87" s="510"/>
      <c r="G87" s="511"/>
    </row>
    <row r="88" spans="3:7" ht="18" customHeight="1">
      <c r="C88" s="826" t="s">
        <v>706</v>
      </c>
      <c r="D88" s="107" t="s">
        <v>732</v>
      </c>
      <c r="E88" s="516">
        <v>1.05</v>
      </c>
      <c r="F88" s="510"/>
      <c r="G88" s="511"/>
    </row>
    <row r="89" spans="3:7" ht="18" customHeight="1">
      <c r="C89" s="826"/>
      <c r="D89" s="107"/>
      <c r="E89" s="516"/>
      <c r="F89" s="510"/>
      <c r="G89" s="511"/>
    </row>
    <row r="90" spans="3:7" ht="18" customHeight="1">
      <c r="C90" s="828" t="s">
        <v>737</v>
      </c>
      <c r="D90" s="833"/>
      <c r="E90" s="831"/>
      <c r="F90" s="510"/>
      <c r="G90" s="511"/>
    </row>
    <row r="91" spans="3:7" ht="18" customHeight="1">
      <c r="C91" s="826" t="s">
        <v>713</v>
      </c>
      <c r="D91" s="107" t="s">
        <v>93</v>
      </c>
      <c r="E91" s="516">
        <v>1.5</v>
      </c>
      <c r="F91" s="510"/>
      <c r="G91" s="511"/>
    </row>
    <row r="92" spans="3:7" ht="18" customHeight="1">
      <c r="C92" s="827" t="s">
        <v>75</v>
      </c>
      <c r="D92" s="107" t="s">
        <v>68</v>
      </c>
      <c r="E92" s="575">
        <v>20</v>
      </c>
      <c r="F92" s="5"/>
      <c r="G92" s="265"/>
    </row>
    <row r="93" spans="3:7" ht="18" customHeight="1">
      <c r="C93" s="827" t="s">
        <v>76</v>
      </c>
      <c r="D93" s="107" t="s">
        <v>68</v>
      </c>
      <c r="E93" s="575">
        <v>13</v>
      </c>
      <c r="F93" s="5"/>
      <c r="G93" s="265"/>
    </row>
    <row r="94" spans="3:7" ht="18" customHeight="1">
      <c r="C94" s="826" t="s">
        <v>686</v>
      </c>
      <c r="D94" s="107" t="s">
        <v>727</v>
      </c>
      <c r="E94" s="516">
        <v>35</v>
      </c>
      <c r="F94" s="510"/>
      <c r="G94" s="511"/>
    </row>
    <row r="95" spans="3:7" ht="18" customHeight="1">
      <c r="C95" s="826" t="s">
        <v>687</v>
      </c>
      <c r="D95" s="107" t="s">
        <v>93</v>
      </c>
      <c r="E95" s="516">
        <v>35</v>
      </c>
      <c r="F95" s="510"/>
      <c r="G95" s="511"/>
    </row>
    <row r="96" spans="3:7" ht="18" customHeight="1">
      <c r="C96" s="826" t="s">
        <v>711</v>
      </c>
      <c r="D96" s="107" t="s">
        <v>93</v>
      </c>
      <c r="E96" s="516">
        <v>7.5</v>
      </c>
      <c r="F96" s="510"/>
      <c r="G96" s="511"/>
    </row>
    <row r="97" spans="3:7" ht="18" customHeight="1">
      <c r="C97" s="826" t="s">
        <v>698</v>
      </c>
      <c r="D97" s="107" t="s">
        <v>93</v>
      </c>
      <c r="E97" s="516">
        <v>7.5</v>
      </c>
      <c r="F97" s="510"/>
      <c r="G97" s="511"/>
    </row>
    <row r="98" spans="3:7" ht="18" customHeight="1">
      <c r="C98" s="826" t="s">
        <v>699</v>
      </c>
      <c r="D98" s="107" t="s">
        <v>93</v>
      </c>
      <c r="E98" s="516">
        <v>10</v>
      </c>
      <c r="F98" s="510"/>
      <c r="G98" s="511"/>
    </row>
    <row r="99" spans="3:7" ht="18" customHeight="1">
      <c r="C99" s="827" t="s">
        <v>45</v>
      </c>
      <c r="D99" s="107" t="s">
        <v>46</v>
      </c>
      <c r="E99" s="575">
        <v>9.5</v>
      </c>
      <c r="F99" s="5"/>
      <c r="G99" s="265"/>
    </row>
    <row r="100" spans="3:7" ht="18" customHeight="1">
      <c r="C100" s="827" t="s">
        <v>69</v>
      </c>
      <c r="D100" s="107" t="s">
        <v>70</v>
      </c>
      <c r="E100" s="575">
        <v>50</v>
      </c>
      <c r="F100" s="5"/>
      <c r="G100" s="265"/>
    </row>
    <row r="101" spans="3:7" ht="18" customHeight="1">
      <c r="C101" s="826"/>
      <c r="D101" s="107"/>
      <c r="E101" s="516"/>
      <c r="F101" s="510"/>
      <c r="G101" s="511"/>
    </row>
    <row r="102" spans="3:7" ht="18" customHeight="1">
      <c r="C102" s="828" t="s">
        <v>734</v>
      </c>
      <c r="D102" s="833"/>
      <c r="E102" s="831"/>
      <c r="F102" s="510"/>
      <c r="G102" s="511"/>
    </row>
    <row r="103" spans="3:7" ht="18" customHeight="1">
      <c r="C103" s="826" t="s">
        <v>696</v>
      </c>
      <c r="D103" s="107" t="s">
        <v>93</v>
      </c>
      <c r="E103" s="516">
        <v>5</v>
      </c>
      <c r="F103" s="510"/>
      <c r="G103" s="511"/>
    </row>
    <row r="104" spans="3:7" ht="18" customHeight="1">
      <c r="C104" s="826" t="s">
        <v>689</v>
      </c>
      <c r="D104" s="107" t="s">
        <v>149</v>
      </c>
      <c r="E104" s="516">
        <v>0.56</v>
      </c>
      <c r="F104" s="510"/>
      <c r="G104" s="511"/>
    </row>
    <row r="105" spans="3:7" ht="18" customHeight="1">
      <c r="C105" s="826" t="s">
        <v>692</v>
      </c>
      <c r="D105" s="107" t="s">
        <v>700</v>
      </c>
      <c r="E105" s="516">
        <v>0.24</v>
      </c>
      <c r="F105" s="510"/>
      <c r="G105" s="511"/>
    </row>
    <row r="106" spans="3:7" ht="18" customHeight="1">
      <c r="C106" s="826" t="s">
        <v>678</v>
      </c>
      <c r="D106" s="107" t="s">
        <v>93</v>
      </c>
      <c r="E106" s="516">
        <v>5</v>
      </c>
      <c r="F106" s="510"/>
      <c r="G106" s="511"/>
    </row>
    <row r="107" spans="3:7" ht="18" customHeight="1">
      <c r="C107" s="826" t="s">
        <v>693</v>
      </c>
      <c r="D107" s="107" t="s">
        <v>732</v>
      </c>
      <c r="E107" s="516">
        <v>2.5</v>
      </c>
      <c r="F107" s="510"/>
      <c r="G107" s="511"/>
    </row>
    <row r="108" spans="3:7" ht="18" customHeight="1">
      <c r="C108" s="826" t="s">
        <v>688</v>
      </c>
      <c r="D108" s="107" t="s">
        <v>733</v>
      </c>
      <c r="E108" s="516">
        <v>60</v>
      </c>
      <c r="F108" s="510"/>
      <c r="G108" s="511"/>
    </row>
    <row r="109" spans="3:7" ht="18" customHeight="1">
      <c r="C109" s="826" t="s">
        <v>694</v>
      </c>
      <c r="D109" s="107" t="s">
        <v>732</v>
      </c>
      <c r="E109" s="516">
        <v>6</v>
      </c>
      <c r="F109" s="510"/>
      <c r="G109" s="511"/>
    </row>
    <row r="110" spans="3:7" ht="18" customHeight="1">
      <c r="C110" s="827" t="s">
        <v>77</v>
      </c>
      <c r="D110" s="107" t="s">
        <v>732</v>
      </c>
      <c r="E110" s="575">
        <v>3.6</v>
      </c>
      <c r="F110" s="5"/>
      <c r="G110" s="265"/>
    </row>
    <row r="111" spans="3:7" ht="18" customHeight="1">
      <c r="C111" s="827" t="s">
        <v>78</v>
      </c>
      <c r="D111" s="107" t="s">
        <v>68</v>
      </c>
      <c r="E111" s="575">
        <v>90</v>
      </c>
      <c r="F111" s="5"/>
      <c r="G111" s="265"/>
    </row>
    <row r="112" spans="3:7" ht="18" customHeight="1">
      <c r="C112" s="827" t="s">
        <v>79</v>
      </c>
      <c r="D112" s="107" t="s">
        <v>68</v>
      </c>
      <c r="E112" s="575">
        <v>1000</v>
      </c>
      <c r="F112" s="5"/>
      <c r="G112" s="265"/>
    </row>
    <row r="113" spans="3:7" ht="18" customHeight="1">
      <c r="C113" s="827" t="s">
        <v>80</v>
      </c>
      <c r="D113" s="107" t="s">
        <v>68</v>
      </c>
      <c r="E113" s="575">
        <v>1200</v>
      </c>
      <c r="F113" s="5"/>
      <c r="G113" s="265"/>
    </row>
    <row r="114" spans="3:7" ht="18" customHeight="1">
      <c r="C114" s="827" t="s">
        <v>81</v>
      </c>
      <c r="D114" s="107" t="s">
        <v>68</v>
      </c>
      <c r="E114" s="575">
        <v>1100</v>
      </c>
      <c r="F114" s="5"/>
      <c r="G114" s="265"/>
    </row>
    <row r="115" spans="3:7" ht="18" customHeight="1">
      <c r="C115" s="826"/>
      <c r="D115" s="107"/>
      <c r="E115" s="516"/>
      <c r="F115" s="510"/>
      <c r="G115" s="511"/>
    </row>
    <row r="116" spans="3:7" ht="18" customHeight="1">
      <c r="C116" s="828" t="s">
        <v>738</v>
      </c>
      <c r="D116" s="833"/>
      <c r="E116" s="831"/>
      <c r="F116" s="510"/>
      <c r="G116" s="511"/>
    </row>
    <row r="117" spans="3:7" ht="18" customHeight="1">
      <c r="C117" s="826" t="s">
        <v>704</v>
      </c>
      <c r="D117" s="107" t="s">
        <v>729</v>
      </c>
      <c r="E117" s="517">
        <v>6.904</v>
      </c>
      <c r="F117" s="510"/>
      <c r="G117" s="511"/>
    </row>
    <row r="118" spans="3:7" ht="18" customHeight="1">
      <c r="C118" s="826" t="s">
        <v>702</v>
      </c>
      <c r="D118" s="107" t="s">
        <v>726</v>
      </c>
      <c r="E118" s="516">
        <v>55</v>
      </c>
      <c r="F118" s="510"/>
      <c r="G118" s="511"/>
    </row>
    <row r="119" spans="3:7" ht="18" customHeight="1">
      <c r="C119" s="826" t="s">
        <v>712</v>
      </c>
      <c r="D119" s="107" t="s">
        <v>725</v>
      </c>
      <c r="E119" s="516">
        <v>3.5</v>
      </c>
      <c r="F119" s="510"/>
      <c r="G119" s="511"/>
    </row>
    <row r="120" spans="3:7" ht="18" customHeight="1">
      <c r="C120" s="826" t="s">
        <v>697</v>
      </c>
      <c r="D120" s="107" t="s">
        <v>93</v>
      </c>
      <c r="E120" s="516">
        <v>40.33</v>
      </c>
      <c r="F120" s="510"/>
      <c r="G120" s="511"/>
    </row>
    <row r="121" spans="3:7" ht="18" customHeight="1">
      <c r="C121" s="826" t="s">
        <v>714</v>
      </c>
      <c r="D121" s="107" t="s">
        <v>149</v>
      </c>
      <c r="E121" s="516">
        <v>0.4</v>
      </c>
      <c r="F121" s="510"/>
      <c r="G121" s="511"/>
    </row>
    <row r="122" spans="3:7" ht="18" customHeight="1">
      <c r="C122" s="826" t="s">
        <v>715</v>
      </c>
      <c r="D122" s="107" t="s">
        <v>731</v>
      </c>
      <c r="E122" s="516">
        <v>2.95</v>
      </c>
      <c r="F122" s="510"/>
      <c r="G122" s="511"/>
    </row>
    <row r="123" spans="3:7" ht="18" customHeight="1">
      <c r="C123" s="826" t="s">
        <v>41</v>
      </c>
      <c r="D123" s="107" t="s">
        <v>42</v>
      </c>
      <c r="E123" s="516">
        <v>38</v>
      </c>
      <c r="F123" s="510"/>
      <c r="G123" s="511"/>
    </row>
    <row r="124" spans="3:7" ht="18" customHeight="1">
      <c r="C124" s="827" t="s">
        <v>71</v>
      </c>
      <c r="D124" s="107" t="s">
        <v>68</v>
      </c>
      <c r="E124" s="575">
        <v>100</v>
      </c>
      <c r="F124" s="5"/>
      <c r="G124" s="265"/>
    </row>
    <row r="125" spans="3:7" ht="18" customHeight="1">
      <c r="C125" s="827" t="s">
        <v>72</v>
      </c>
      <c r="D125" s="107" t="s">
        <v>68</v>
      </c>
      <c r="E125" s="575">
        <v>50</v>
      </c>
      <c r="F125" s="5"/>
      <c r="G125" s="265"/>
    </row>
    <row r="126" spans="3:7" ht="18" customHeight="1">
      <c r="C126" s="826" t="s">
        <v>73</v>
      </c>
      <c r="D126" s="107" t="s">
        <v>68</v>
      </c>
      <c r="E126" s="516">
        <v>115</v>
      </c>
      <c r="F126" s="510"/>
      <c r="G126" s="511"/>
    </row>
    <row r="127" spans="3:7" ht="18" customHeight="1">
      <c r="C127" s="827" t="s">
        <v>67</v>
      </c>
      <c r="D127" s="107" t="s">
        <v>93</v>
      </c>
      <c r="E127" s="575">
        <v>30</v>
      </c>
      <c r="F127" s="5"/>
      <c r="G127" s="265"/>
    </row>
    <row r="128" spans="3:7" ht="18" customHeight="1" thickBot="1">
      <c r="C128" s="571"/>
      <c r="D128" s="834"/>
      <c r="E128" s="518"/>
      <c r="F128" s="514"/>
      <c r="G128" s="515"/>
    </row>
    <row r="129" ht="12.75">
      <c r="E129" s="513"/>
    </row>
    <row r="130" ht="12.75">
      <c r="E130" s="513"/>
    </row>
  </sheetData>
  <sheetProtection/>
  <printOptions/>
  <pageMargins left="0.75" right="0.75" top="1" bottom="1" header="0.5" footer="0.5"/>
  <pageSetup horizontalDpi="200" verticalDpi="200" orientation="portrait" r:id="rId2"/>
  <drawing r:id="rId1"/>
</worksheet>
</file>

<file path=xl/worksheets/sheet6.xml><?xml version="1.0" encoding="utf-8"?>
<worksheet xmlns="http://schemas.openxmlformats.org/spreadsheetml/2006/main" xmlns:r="http://schemas.openxmlformats.org/officeDocument/2006/relationships">
  <sheetPr codeName="Sheet151"/>
  <dimension ref="A1:H38"/>
  <sheetViews>
    <sheetView zoomScalePageLayoutView="0" workbookViewId="0" topLeftCell="A3">
      <selection activeCell="A1" sqref="A1"/>
    </sheetView>
  </sheetViews>
  <sheetFormatPr defaultColWidth="9.140625" defaultRowHeight="12.75"/>
  <cols>
    <col min="1" max="1" width="2.7109375" style="501" customWidth="1"/>
    <col min="2" max="2" width="22.8515625" style="501" customWidth="1"/>
    <col min="3" max="3" width="28.7109375" style="501" customWidth="1"/>
    <col min="4" max="4" width="18.7109375" style="501" customWidth="1"/>
    <col min="5" max="5" width="14.7109375" style="502" customWidth="1"/>
    <col min="6" max="6" width="18.7109375" style="502" customWidth="1"/>
    <col min="7" max="7" width="11.7109375" style="501" customWidth="1"/>
    <col min="8" max="8" width="11.140625" style="36" customWidth="1"/>
    <col min="9" max="16384" width="9.140625" style="501" customWidth="1"/>
  </cols>
  <sheetData>
    <row r="1" spans="2:7" ht="12.75" hidden="1">
      <c r="B1" s="843"/>
      <c r="C1" s="844"/>
      <c r="D1" s="845"/>
      <c r="E1" s="846"/>
      <c r="F1" s="846"/>
      <c r="G1" s="845"/>
    </row>
    <row r="2" spans="2:7" ht="12.75" hidden="1">
      <c r="B2" s="552"/>
      <c r="C2" s="835" t="s">
        <v>769</v>
      </c>
      <c r="D2" s="564" t="e">
        <f>IF(C2="","",VLOOKUP(C2,Input_lookup,2,FALSE))</f>
        <v>#N/A</v>
      </c>
      <c r="E2" s="548"/>
      <c r="F2" s="564" t="e">
        <f>IF(C2="","",VLOOKUP(C2,Input_lookup,3,FALSE))</f>
        <v>#N/A</v>
      </c>
      <c r="G2" s="554">
        <f>IF(E2&gt;0,E2*F2,"")</f>
      </c>
    </row>
    <row r="3" ht="15" customHeight="1">
      <c r="B3" s="36"/>
    </row>
    <row r="4" ht="24" customHeight="1">
      <c r="B4" s="555" t="s">
        <v>839</v>
      </c>
    </row>
    <row r="5" ht="24" customHeight="1">
      <c r="B5" s="842" t="s">
        <v>849</v>
      </c>
    </row>
    <row r="6" ht="15" customHeight="1">
      <c r="B6" s="555"/>
    </row>
    <row r="7" ht="15" customHeight="1" thickBot="1"/>
    <row r="8" spans="1:8" ht="30" customHeight="1" thickBot="1">
      <c r="A8" s="505"/>
      <c r="B8" s="530" t="s">
        <v>740</v>
      </c>
      <c r="C8" s="531" t="s">
        <v>766</v>
      </c>
      <c r="D8" s="533" t="s">
        <v>83</v>
      </c>
      <c r="E8" s="534" t="s">
        <v>716</v>
      </c>
      <c r="F8" s="534" t="s">
        <v>685</v>
      </c>
      <c r="G8" s="532" t="s">
        <v>720</v>
      </c>
      <c r="H8" s="550"/>
    </row>
    <row r="9" spans="2:8" ht="36" customHeight="1">
      <c r="B9" s="544" t="s">
        <v>767</v>
      </c>
      <c r="C9" s="526" t="s">
        <v>768</v>
      </c>
      <c r="D9" s="528" t="s">
        <v>747</v>
      </c>
      <c r="E9" s="527" t="s">
        <v>739</v>
      </c>
      <c r="F9" s="528" t="s">
        <v>747</v>
      </c>
      <c r="G9" s="529" t="s">
        <v>748</v>
      </c>
      <c r="H9" s="507"/>
    </row>
    <row r="10" spans="2:8" ht="18" customHeight="1">
      <c r="B10" s="535"/>
      <c r="C10" s="576" t="s">
        <v>776</v>
      </c>
      <c r="D10" s="536"/>
      <c r="E10" s="537"/>
      <c r="F10" s="538"/>
      <c r="G10" s="539"/>
      <c r="H10" s="507"/>
    </row>
    <row r="11" spans="2:8" ht="18" customHeight="1">
      <c r="B11" s="545" t="s">
        <v>679</v>
      </c>
      <c r="C11" s="836" t="s">
        <v>678</v>
      </c>
      <c r="D11" s="565" t="str">
        <f aca="true" t="shared" si="0" ref="D11:D31">IF(C11="","",VLOOKUP(C11,Input_lookup,2,FALSE))</f>
        <v>acre</v>
      </c>
      <c r="E11" s="524">
        <v>1</v>
      </c>
      <c r="F11" s="565">
        <f aca="true" t="shared" si="1" ref="F11:F31">IF(C11="","",VLOOKUP(C11,Input_lookup,3,FALSE))</f>
        <v>5</v>
      </c>
      <c r="G11" s="525">
        <f aca="true" t="shared" si="2" ref="G11:G31">IF(E11&gt;0,E11*F11,"")</f>
        <v>5</v>
      </c>
      <c r="H11" s="507"/>
    </row>
    <row r="12" spans="2:8" ht="18" customHeight="1">
      <c r="B12" s="552" t="s">
        <v>679</v>
      </c>
      <c r="C12" s="835" t="s">
        <v>690</v>
      </c>
      <c r="D12" s="564" t="str">
        <f t="shared" si="0"/>
        <v>tons</v>
      </c>
      <c r="E12" s="548">
        <v>1</v>
      </c>
      <c r="F12" s="564">
        <f t="shared" si="1"/>
        <v>97.5</v>
      </c>
      <c r="G12" s="554">
        <f t="shared" si="2"/>
        <v>97.5</v>
      </c>
      <c r="H12" s="507"/>
    </row>
    <row r="13" spans="2:8" ht="18" customHeight="1">
      <c r="B13" s="545" t="s">
        <v>680</v>
      </c>
      <c r="C13" s="836" t="s">
        <v>695</v>
      </c>
      <c r="D13" s="565" t="str">
        <f t="shared" si="0"/>
        <v>quart</v>
      </c>
      <c r="E13" s="524">
        <v>3</v>
      </c>
      <c r="F13" s="565">
        <f t="shared" si="1"/>
        <v>21.5</v>
      </c>
      <c r="G13" s="525">
        <f t="shared" si="2"/>
        <v>64.5</v>
      </c>
      <c r="H13" s="507"/>
    </row>
    <row r="14" spans="2:8" ht="18" customHeight="1">
      <c r="B14" s="545" t="s">
        <v>681</v>
      </c>
      <c r="C14" s="836" t="s">
        <v>686</v>
      </c>
      <c r="D14" s="565" t="str">
        <f t="shared" si="0"/>
        <v>times per acre</v>
      </c>
      <c r="E14" s="524">
        <v>2</v>
      </c>
      <c r="F14" s="565">
        <f t="shared" si="1"/>
        <v>35</v>
      </c>
      <c r="G14" s="525">
        <f t="shared" si="2"/>
        <v>70</v>
      </c>
      <c r="H14" s="507"/>
    </row>
    <row r="15" spans="2:8" ht="18" customHeight="1">
      <c r="B15" s="545" t="s">
        <v>682</v>
      </c>
      <c r="C15" s="836" t="s">
        <v>687</v>
      </c>
      <c r="D15" s="565" t="str">
        <f t="shared" si="0"/>
        <v>acre</v>
      </c>
      <c r="E15" s="524">
        <v>1</v>
      </c>
      <c r="F15" s="565">
        <f t="shared" si="1"/>
        <v>35</v>
      </c>
      <c r="G15" s="525">
        <f t="shared" si="2"/>
        <v>35</v>
      </c>
      <c r="H15" s="507"/>
    </row>
    <row r="16" spans="2:8" ht="18" customHeight="1">
      <c r="B16" s="547" t="s">
        <v>682</v>
      </c>
      <c r="C16" s="836" t="s">
        <v>724</v>
      </c>
      <c r="D16" s="565" t="str">
        <f t="shared" si="0"/>
        <v>lb.</v>
      </c>
      <c r="E16" s="524">
        <v>400</v>
      </c>
      <c r="F16" s="565">
        <f t="shared" si="1"/>
        <v>0.11</v>
      </c>
      <c r="G16" s="525">
        <f t="shared" si="2"/>
        <v>44</v>
      </c>
      <c r="H16" s="507"/>
    </row>
    <row r="17" spans="2:8" ht="18" customHeight="1">
      <c r="B17" s="545" t="s">
        <v>841</v>
      </c>
      <c r="C17" s="836" t="s">
        <v>699</v>
      </c>
      <c r="D17" s="565" t="str">
        <f t="shared" si="0"/>
        <v>acre</v>
      </c>
      <c r="E17" s="524">
        <v>1</v>
      </c>
      <c r="F17" s="565">
        <f t="shared" si="1"/>
        <v>10</v>
      </c>
      <c r="G17" s="525">
        <f t="shared" si="2"/>
        <v>10</v>
      </c>
      <c r="H17" s="507"/>
    </row>
    <row r="18" spans="2:8" ht="18" customHeight="1">
      <c r="B18" s="546" t="s">
        <v>842</v>
      </c>
      <c r="C18" s="836" t="s">
        <v>698</v>
      </c>
      <c r="D18" s="565" t="str">
        <f t="shared" si="0"/>
        <v>acre</v>
      </c>
      <c r="E18" s="524">
        <v>1</v>
      </c>
      <c r="F18" s="565">
        <f t="shared" si="1"/>
        <v>7.5</v>
      </c>
      <c r="G18" s="525">
        <f t="shared" si="2"/>
        <v>7.5</v>
      </c>
      <c r="H18" s="507"/>
    </row>
    <row r="19" spans="2:8" ht="18" customHeight="1">
      <c r="B19" s="545" t="s">
        <v>843</v>
      </c>
      <c r="C19" s="836" t="s">
        <v>692</v>
      </c>
      <c r="D19" s="565" t="str">
        <f t="shared" si="0"/>
        <v>plant</v>
      </c>
      <c r="E19" s="524">
        <v>2000</v>
      </c>
      <c r="F19" s="565">
        <f t="shared" si="1"/>
        <v>0.24</v>
      </c>
      <c r="G19" s="525">
        <f t="shared" si="2"/>
        <v>480</v>
      </c>
      <c r="H19" s="507"/>
    </row>
    <row r="20" spans="2:8" ht="18" customHeight="1">
      <c r="B20" s="545"/>
      <c r="C20" s="836" t="s">
        <v>705</v>
      </c>
      <c r="D20" s="565" t="str">
        <f t="shared" si="0"/>
        <v>hour</v>
      </c>
      <c r="E20" s="524">
        <v>15</v>
      </c>
      <c r="F20" s="565">
        <f t="shared" si="1"/>
        <v>5</v>
      </c>
      <c r="G20" s="525">
        <f t="shared" si="2"/>
        <v>75</v>
      </c>
      <c r="H20" s="507"/>
    </row>
    <row r="21" spans="2:8" ht="18" customHeight="1">
      <c r="B21" s="552" t="s">
        <v>684</v>
      </c>
      <c r="C21" s="835" t="s">
        <v>724</v>
      </c>
      <c r="D21" s="564" t="str">
        <f t="shared" si="0"/>
        <v>lb.</v>
      </c>
      <c r="E21" s="548">
        <v>400</v>
      </c>
      <c r="F21" s="564">
        <f t="shared" si="1"/>
        <v>0.11</v>
      </c>
      <c r="G21" s="554">
        <f t="shared" si="2"/>
        <v>44</v>
      </c>
      <c r="H21" s="507"/>
    </row>
    <row r="22" spans="2:8" ht="18" customHeight="1">
      <c r="B22" s="552" t="s">
        <v>684</v>
      </c>
      <c r="C22" s="835" t="s">
        <v>691</v>
      </c>
      <c r="D22" s="564" t="str">
        <f t="shared" si="0"/>
        <v>lb.</v>
      </c>
      <c r="E22" s="548">
        <v>2.67</v>
      </c>
      <c r="F22" s="564">
        <f t="shared" si="1"/>
        <v>8.3</v>
      </c>
      <c r="G22" s="554">
        <f t="shared" si="2"/>
        <v>22.161</v>
      </c>
      <c r="H22" s="507"/>
    </row>
    <row r="23" spans="2:7" ht="18" customHeight="1">
      <c r="B23" s="545" t="s">
        <v>844</v>
      </c>
      <c r="C23" s="837" t="s">
        <v>257</v>
      </c>
      <c r="D23" s="565" t="str">
        <f t="shared" si="0"/>
        <v>hour</v>
      </c>
      <c r="E23" s="524">
        <v>6</v>
      </c>
      <c r="F23" s="565">
        <f t="shared" si="1"/>
        <v>6</v>
      </c>
      <c r="G23" s="525">
        <f t="shared" si="2"/>
        <v>36</v>
      </c>
    </row>
    <row r="24" spans="2:8" ht="18" customHeight="1">
      <c r="B24" s="545" t="s">
        <v>845</v>
      </c>
      <c r="C24" s="837" t="s">
        <v>257</v>
      </c>
      <c r="D24" s="565" t="str">
        <f t="shared" si="0"/>
        <v>hour</v>
      </c>
      <c r="E24" s="524">
        <v>4</v>
      </c>
      <c r="F24" s="565">
        <f t="shared" si="1"/>
        <v>6</v>
      </c>
      <c r="G24" s="525">
        <f t="shared" si="2"/>
        <v>24</v>
      </c>
      <c r="H24" s="507"/>
    </row>
    <row r="25" spans="2:8" ht="18" customHeight="1">
      <c r="B25" s="552" t="s">
        <v>846</v>
      </c>
      <c r="C25" s="835" t="s">
        <v>257</v>
      </c>
      <c r="D25" s="564" t="str">
        <f t="shared" si="0"/>
        <v>hour</v>
      </c>
      <c r="E25" s="548">
        <v>6</v>
      </c>
      <c r="F25" s="564">
        <f t="shared" si="1"/>
        <v>6</v>
      </c>
      <c r="G25" s="554">
        <f t="shared" si="2"/>
        <v>36</v>
      </c>
      <c r="H25" s="507"/>
    </row>
    <row r="26" spans="2:8" ht="18" customHeight="1">
      <c r="B26" s="552"/>
      <c r="C26" s="835" t="s">
        <v>688</v>
      </c>
      <c r="D26" s="564" t="str">
        <f t="shared" si="0"/>
        <v>cwt</v>
      </c>
      <c r="E26" s="548">
        <v>5</v>
      </c>
      <c r="F26" s="564">
        <f t="shared" si="1"/>
        <v>60</v>
      </c>
      <c r="G26" s="554">
        <f t="shared" si="2"/>
        <v>300</v>
      </c>
      <c r="H26" s="507"/>
    </row>
    <row r="27" spans="2:8" ht="18" customHeight="1">
      <c r="B27" s="552"/>
      <c r="C27" s="835" t="s">
        <v>689</v>
      </c>
      <c r="D27" s="564" t="str">
        <f t="shared" si="0"/>
        <v>lb.</v>
      </c>
      <c r="E27" s="548">
        <v>25</v>
      </c>
      <c r="F27" s="564">
        <f t="shared" si="1"/>
        <v>0.56</v>
      </c>
      <c r="G27" s="554">
        <f t="shared" si="2"/>
        <v>14.000000000000002</v>
      </c>
      <c r="H27" s="507"/>
    </row>
    <row r="28" spans="2:8" ht="18" customHeight="1">
      <c r="B28" s="552" t="s">
        <v>847</v>
      </c>
      <c r="C28" s="835" t="s">
        <v>696</v>
      </c>
      <c r="D28" s="564" t="str">
        <f t="shared" si="0"/>
        <v>acre</v>
      </c>
      <c r="E28" s="548">
        <v>1</v>
      </c>
      <c r="F28" s="564">
        <f t="shared" si="1"/>
        <v>5</v>
      </c>
      <c r="G28" s="554">
        <f t="shared" si="2"/>
        <v>5</v>
      </c>
      <c r="H28" s="507"/>
    </row>
    <row r="29" spans="2:8" ht="18" customHeight="1">
      <c r="B29" s="552" t="s">
        <v>848</v>
      </c>
      <c r="C29" s="835" t="s">
        <v>693</v>
      </c>
      <c r="D29" s="564" t="str">
        <f t="shared" si="0"/>
        <v>each</v>
      </c>
      <c r="E29" s="548">
        <v>220</v>
      </c>
      <c r="F29" s="564">
        <f t="shared" si="1"/>
        <v>2.5</v>
      </c>
      <c r="G29" s="554">
        <f t="shared" si="2"/>
        <v>550</v>
      </c>
      <c r="H29" s="507"/>
    </row>
    <row r="30" spans="2:8" ht="18" customHeight="1">
      <c r="B30" s="552"/>
      <c r="C30" s="835" t="s">
        <v>694</v>
      </c>
      <c r="D30" s="564" t="str">
        <f t="shared" si="0"/>
        <v>each</v>
      </c>
      <c r="E30" s="548">
        <v>44</v>
      </c>
      <c r="F30" s="564">
        <f t="shared" si="1"/>
        <v>6</v>
      </c>
      <c r="G30" s="554">
        <f t="shared" si="2"/>
        <v>264</v>
      </c>
      <c r="H30" s="507"/>
    </row>
    <row r="31" spans="2:8" ht="18" customHeight="1">
      <c r="B31" s="552"/>
      <c r="C31" s="835" t="s">
        <v>257</v>
      </c>
      <c r="D31" s="564" t="str">
        <f t="shared" si="0"/>
        <v>hour</v>
      </c>
      <c r="E31" s="548">
        <v>7</v>
      </c>
      <c r="F31" s="564">
        <f t="shared" si="1"/>
        <v>6</v>
      </c>
      <c r="G31" s="554">
        <f t="shared" si="2"/>
        <v>42</v>
      </c>
      <c r="H31" s="507"/>
    </row>
    <row r="32" spans="2:8" ht="18" customHeight="1" thickBot="1">
      <c r="B32" s="552"/>
      <c r="C32" s="581"/>
      <c r="D32" s="579"/>
      <c r="E32" s="582"/>
      <c r="F32" s="582"/>
      <c r="G32" s="580"/>
      <c r="H32" s="507"/>
    </row>
    <row r="33" spans="2:7" ht="18" customHeight="1" thickBot="1">
      <c r="B33" s="556"/>
      <c r="C33" s="557" t="s">
        <v>746</v>
      </c>
      <c r="D33" s="558"/>
      <c r="E33" s="559"/>
      <c r="F33" s="559"/>
      <c r="G33" s="560">
        <f>SUM(G11:G32)</f>
        <v>2225.661</v>
      </c>
    </row>
    <row r="34" spans="1:7" ht="18" customHeight="1">
      <c r="A34" s="36"/>
      <c r="B34" s="36"/>
      <c r="C34" s="190"/>
      <c r="D34" s="36"/>
      <c r="E34" s="503"/>
      <c r="F34" s="503"/>
      <c r="G34" s="577"/>
    </row>
    <row r="35" spans="3:7" ht="12.75">
      <c r="C35" s="561"/>
      <c r="G35" s="506"/>
    </row>
    <row r="36" spans="3:7" ht="12.75">
      <c r="C36" s="561"/>
      <c r="G36" s="506"/>
    </row>
    <row r="37" spans="3:7" ht="12.75">
      <c r="C37" s="561"/>
      <c r="G37" s="506"/>
    </row>
    <row r="38" spans="3:7" ht="12.75">
      <c r="C38" s="561"/>
      <c r="G38" s="506"/>
    </row>
  </sheetData>
  <sheetProtection/>
  <dataValidations count="1">
    <dataValidation type="list" allowBlank="1" showInputMessage="1" showErrorMessage="1" sqref="C2 C11:C31">
      <formula1>Input_list</formula1>
    </dataValidation>
  </dataValidation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152"/>
  <dimension ref="A1:H37"/>
  <sheetViews>
    <sheetView zoomScalePageLayoutView="0" workbookViewId="0" topLeftCell="A3">
      <selection activeCell="A1" sqref="A1"/>
    </sheetView>
  </sheetViews>
  <sheetFormatPr defaultColWidth="9.140625" defaultRowHeight="12.75"/>
  <cols>
    <col min="1" max="1" width="2.7109375" style="501" customWidth="1"/>
    <col min="2" max="2" width="24.7109375" style="501" customWidth="1"/>
    <col min="3" max="3" width="28.7109375" style="501" customWidth="1"/>
    <col min="4" max="4" width="18.7109375" style="501" customWidth="1"/>
    <col min="5" max="5" width="14.7109375" style="502" customWidth="1"/>
    <col min="6" max="6" width="18.7109375" style="502" customWidth="1"/>
    <col min="7" max="7" width="11.7109375" style="501" customWidth="1"/>
    <col min="8" max="8" width="11.140625" style="36" customWidth="1"/>
    <col min="9" max="16384" width="9.140625" style="501" customWidth="1"/>
  </cols>
  <sheetData>
    <row r="1" spans="2:7" ht="12.75" hidden="1">
      <c r="B1" s="843"/>
      <c r="C1" s="844"/>
      <c r="D1" s="845"/>
      <c r="E1" s="846"/>
      <c r="F1" s="846"/>
      <c r="G1" s="845"/>
    </row>
    <row r="2" spans="2:7" ht="12.75" hidden="1">
      <c r="B2" s="552"/>
      <c r="C2" s="835" t="s">
        <v>769</v>
      </c>
      <c r="D2" s="564" t="e">
        <f>IF(C2="","",VLOOKUP(C2,Input_lookup,2,FALSE))</f>
        <v>#N/A</v>
      </c>
      <c r="E2" s="548"/>
      <c r="F2" s="564" t="e">
        <f>IF(C2="","",VLOOKUP(C2,Input_lookup,3,FALSE))</f>
        <v>#N/A</v>
      </c>
      <c r="G2" s="554">
        <f>IF(E2&gt;0,E2*F2,"")</f>
      </c>
    </row>
    <row r="3" ht="15" customHeight="1">
      <c r="B3" s="36"/>
    </row>
    <row r="4" ht="24" customHeight="1">
      <c r="B4" s="555" t="s">
        <v>839</v>
      </c>
    </row>
    <row r="5" ht="24" customHeight="1">
      <c r="B5" s="842" t="s">
        <v>2</v>
      </c>
    </row>
    <row r="6" ht="15" customHeight="1">
      <c r="B6" s="555"/>
    </row>
    <row r="7" ht="15" customHeight="1" thickBot="1"/>
    <row r="8" spans="1:8" ht="30" customHeight="1" thickBot="1">
      <c r="A8" s="505"/>
      <c r="B8" s="530" t="s">
        <v>740</v>
      </c>
      <c r="C8" s="531" t="s">
        <v>766</v>
      </c>
      <c r="D8" s="533" t="s">
        <v>83</v>
      </c>
      <c r="E8" s="534" t="s">
        <v>716</v>
      </c>
      <c r="F8" s="534" t="s">
        <v>685</v>
      </c>
      <c r="G8" s="532" t="s">
        <v>720</v>
      </c>
      <c r="H8" s="550"/>
    </row>
    <row r="9" spans="2:8" ht="36" customHeight="1">
      <c r="B9" s="544" t="s">
        <v>767</v>
      </c>
      <c r="C9" s="526" t="s">
        <v>768</v>
      </c>
      <c r="D9" s="528" t="s">
        <v>747</v>
      </c>
      <c r="E9" s="527" t="s">
        <v>739</v>
      </c>
      <c r="F9" s="528" t="s">
        <v>747</v>
      </c>
      <c r="G9" s="529" t="s">
        <v>748</v>
      </c>
      <c r="H9" s="507"/>
    </row>
    <row r="10" spans="2:8" ht="18" customHeight="1">
      <c r="B10" s="535"/>
      <c r="C10" s="437" t="s">
        <v>719</v>
      </c>
      <c r="D10" s="536"/>
      <c r="E10" s="537"/>
      <c r="F10" s="538"/>
      <c r="G10" s="539"/>
      <c r="H10" s="507"/>
    </row>
    <row r="11" spans="2:8" ht="18" customHeight="1">
      <c r="B11" s="545" t="s">
        <v>850</v>
      </c>
      <c r="C11" s="836" t="s">
        <v>705</v>
      </c>
      <c r="D11" s="565" t="str">
        <f aca="true" t="shared" si="0" ref="D11:D24">IF(C11="","",VLOOKUP(C11,Input_lookup,2,FALSE))</f>
        <v>hour</v>
      </c>
      <c r="E11" s="524">
        <v>20</v>
      </c>
      <c r="F11" s="565">
        <f aca="true" t="shared" si="1" ref="F11:F24">IF(C11="","",VLOOKUP(C11,Input_lookup,3,FALSE))</f>
        <v>5</v>
      </c>
      <c r="G11" s="525">
        <f aca="true" t="shared" si="2" ref="G11:G24">IF(E11&gt;0,E11*F11,"")</f>
        <v>100</v>
      </c>
      <c r="H11" s="507"/>
    </row>
    <row r="12" spans="2:8" ht="18" customHeight="1">
      <c r="B12" s="545" t="s">
        <v>832</v>
      </c>
      <c r="C12" s="836" t="s">
        <v>705</v>
      </c>
      <c r="D12" s="565" t="str">
        <f t="shared" si="0"/>
        <v>hour</v>
      </c>
      <c r="E12" s="524">
        <v>20</v>
      </c>
      <c r="F12" s="565">
        <f t="shared" si="1"/>
        <v>5</v>
      </c>
      <c r="G12" s="525">
        <f t="shared" si="2"/>
        <v>100</v>
      </c>
      <c r="H12" s="507"/>
    </row>
    <row r="13" spans="2:8" ht="18" customHeight="1">
      <c r="B13" s="547"/>
      <c r="C13" s="836" t="s">
        <v>702</v>
      </c>
      <c r="D13" s="565" t="str">
        <f t="shared" si="0"/>
        <v>bale</v>
      </c>
      <c r="E13" s="524">
        <v>0.2</v>
      </c>
      <c r="F13" s="565">
        <f t="shared" si="1"/>
        <v>55</v>
      </c>
      <c r="G13" s="525">
        <f t="shared" si="2"/>
        <v>11</v>
      </c>
      <c r="H13" s="507"/>
    </row>
    <row r="14" spans="2:8" ht="18" customHeight="1">
      <c r="B14" s="545" t="s">
        <v>851</v>
      </c>
      <c r="C14" s="836" t="s">
        <v>708</v>
      </c>
      <c r="D14" s="565" t="str">
        <f t="shared" si="0"/>
        <v>gallon</v>
      </c>
      <c r="E14" s="524">
        <v>6</v>
      </c>
      <c r="F14" s="565">
        <f t="shared" si="1"/>
        <v>6.75</v>
      </c>
      <c r="G14" s="525">
        <f t="shared" si="2"/>
        <v>40.5</v>
      </c>
      <c r="H14" s="507"/>
    </row>
    <row r="15" spans="2:8" ht="18" customHeight="1">
      <c r="B15" s="547"/>
      <c r="C15" s="836" t="s">
        <v>257</v>
      </c>
      <c r="D15" s="565" t="str">
        <f t="shared" si="0"/>
        <v>hour</v>
      </c>
      <c r="E15" s="524">
        <v>0.99</v>
      </c>
      <c r="F15" s="565">
        <f t="shared" si="1"/>
        <v>6</v>
      </c>
      <c r="G15" s="525">
        <f t="shared" si="2"/>
        <v>5.9399999999999995</v>
      </c>
      <c r="H15" s="507"/>
    </row>
    <row r="16" spans="2:8" ht="18" customHeight="1">
      <c r="B16" s="545" t="s">
        <v>683</v>
      </c>
      <c r="C16" s="836" t="s">
        <v>707</v>
      </c>
      <c r="D16" s="565" t="str">
        <f t="shared" si="0"/>
        <v>lb.</v>
      </c>
      <c r="E16" s="524">
        <v>600</v>
      </c>
      <c r="F16" s="565">
        <f t="shared" si="1"/>
        <v>0.111</v>
      </c>
      <c r="G16" s="525">
        <f t="shared" si="2"/>
        <v>66.6</v>
      </c>
      <c r="H16" s="507"/>
    </row>
    <row r="17" spans="2:8" ht="18" customHeight="1">
      <c r="B17" s="545" t="s">
        <v>852</v>
      </c>
      <c r="C17" s="836" t="s">
        <v>705</v>
      </c>
      <c r="D17" s="565" t="str">
        <f t="shared" si="0"/>
        <v>hour</v>
      </c>
      <c r="E17" s="524">
        <v>8</v>
      </c>
      <c r="F17" s="565">
        <f t="shared" si="1"/>
        <v>5</v>
      </c>
      <c r="G17" s="525">
        <f t="shared" si="2"/>
        <v>40</v>
      </c>
      <c r="H17" s="507"/>
    </row>
    <row r="18" spans="2:8" ht="18" customHeight="1">
      <c r="B18" s="545" t="s">
        <v>853</v>
      </c>
      <c r="C18" s="836" t="s">
        <v>710</v>
      </c>
      <c r="D18" s="565" t="str">
        <f t="shared" si="0"/>
        <v>pint</v>
      </c>
      <c r="E18" s="524">
        <v>1.33</v>
      </c>
      <c r="F18" s="565">
        <f t="shared" si="1"/>
        <v>12.87</v>
      </c>
      <c r="G18" s="525">
        <f t="shared" si="2"/>
        <v>17.1171</v>
      </c>
      <c r="H18" s="507"/>
    </row>
    <row r="19" spans="2:8" ht="18" customHeight="1">
      <c r="B19" s="545"/>
      <c r="C19" s="836" t="s">
        <v>709</v>
      </c>
      <c r="D19" s="565" t="str">
        <f t="shared" si="0"/>
        <v>lb.</v>
      </c>
      <c r="E19" s="524">
        <v>1.67</v>
      </c>
      <c r="F19" s="565">
        <f t="shared" si="1"/>
        <v>3.5</v>
      </c>
      <c r="G19" s="525">
        <f t="shared" si="2"/>
        <v>5.845</v>
      </c>
      <c r="H19" s="507"/>
    </row>
    <row r="20" spans="2:8" ht="18" customHeight="1">
      <c r="B20" s="545" t="s">
        <v>854</v>
      </c>
      <c r="C20" s="837" t="s">
        <v>804</v>
      </c>
      <c r="D20" s="565" t="str">
        <f t="shared" si="0"/>
        <v>pint</v>
      </c>
      <c r="E20" s="524">
        <v>1</v>
      </c>
      <c r="F20" s="565">
        <f t="shared" si="1"/>
        <v>3.31</v>
      </c>
      <c r="G20" s="525">
        <f t="shared" si="2"/>
        <v>3.31</v>
      </c>
      <c r="H20" s="507"/>
    </row>
    <row r="21" spans="2:8" ht="18" customHeight="1">
      <c r="B21" s="545" t="s">
        <v>0</v>
      </c>
      <c r="C21" s="837" t="s">
        <v>824</v>
      </c>
      <c r="D21" s="565" t="str">
        <f t="shared" si="0"/>
        <v>lb.</v>
      </c>
      <c r="E21" s="524">
        <v>3</v>
      </c>
      <c r="F21" s="565">
        <f t="shared" si="1"/>
        <v>20</v>
      </c>
      <c r="G21" s="525">
        <f t="shared" si="2"/>
        <v>60</v>
      </c>
      <c r="H21" s="507"/>
    </row>
    <row r="22" spans="2:8" ht="18" customHeight="1">
      <c r="B22" s="545" t="s">
        <v>1</v>
      </c>
      <c r="C22" s="837" t="s">
        <v>701</v>
      </c>
      <c r="D22" s="565" t="str">
        <f t="shared" si="0"/>
        <v>quart</v>
      </c>
      <c r="E22" s="524">
        <v>2</v>
      </c>
      <c r="F22" s="565">
        <f t="shared" si="1"/>
        <v>5.15</v>
      </c>
      <c r="G22" s="525">
        <f t="shared" si="2"/>
        <v>10.3</v>
      </c>
      <c r="H22" s="507"/>
    </row>
    <row r="23" spans="2:8" ht="18" customHeight="1">
      <c r="B23" s="545"/>
      <c r="C23" s="837" t="s">
        <v>807</v>
      </c>
      <c r="D23" s="565" t="str">
        <f t="shared" si="0"/>
        <v>lb.</v>
      </c>
      <c r="E23" s="524">
        <v>2</v>
      </c>
      <c r="F23" s="565">
        <f t="shared" si="1"/>
        <v>2</v>
      </c>
      <c r="G23" s="525">
        <f t="shared" si="2"/>
        <v>4</v>
      </c>
      <c r="H23" s="507"/>
    </row>
    <row r="24" spans="2:8" ht="18" customHeight="1">
      <c r="B24" s="545" t="s">
        <v>835</v>
      </c>
      <c r="C24" s="837" t="s">
        <v>705</v>
      </c>
      <c r="D24" s="565" t="str">
        <f t="shared" si="0"/>
        <v>hour</v>
      </c>
      <c r="E24" s="524">
        <v>2</v>
      </c>
      <c r="F24" s="565">
        <f t="shared" si="1"/>
        <v>5</v>
      </c>
      <c r="G24" s="525">
        <f t="shared" si="2"/>
        <v>10</v>
      </c>
      <c r="H24" s="507"/>
    </row>
    <row r="25" spans="2:8" ht="18" customHeight="1">
      <c r="B25" s="549"/>
      <c r="C25" s="838"/>
      <c r="D25" s="595"/>
      <c r="E25" s="596"/>
      <c r="F25" s="596"/>
      <c r="G25" s="597"/>
      <c r="H25" s="507"/>
    </row>
    <row r="26" spans="2:8" ht="18" customHeight="1">
      <c r="B26" s="540"/>
      <c r="C26" s="839" t="s">
        <v>717</v>
      </c>
      <c r="D26" s="569"/>
      <c r="E26" s="542"/>
      <c r="F26" s="569"/>
      <c r="G26" s="543">
        <f>IF(E26&gt;0,E26*F26,"")</f>
      </c>
      <c r="H26" s="507"/>
    </row>
    <row r="27" spans="2:8" ht="18" customHeight="1">
      <c r="B27" s="545" t="s">
        <v>3</v>
      </c>
      <c r="C27" s="837" t="s">
        <v>723</v>
      </c>
      <c r="D27" s="565" t="str">
        <f>IF(C27="","",VLOOKUP(C27,Input_lookup,2,FALSE))</f>
        <v>lb.</v>
      </c>
      <c r="E27" s="524">
        <v>4000</v>
      </c>
      <c r="F27" s="565">
        <f>IF(C27="","",VLOOKUP(C27,Input_lookup,3,FALSE))</f>
        <v>0.165</v>
      </c>
      <c r="G27" s="525">
        <f>IF(E27&gt;0,E27*F27,"")</f>
        <v>660</v>
      </c>
      <c r="H27" s="507"/>
    </row>
    <row r="28" spans="2:8" ht="18" customHeight="1">
      <c r="B28" s="545"/>
      <c r="C28" s="837" t="s">
        <v>705</v>
      </c>
      <c r="D28" s="565" t="str">
        <f>IF(C28="","",VLOOKUP(C28,Input_lookup,2,FALSE))</f>
        <v>hour</v>
      </c>
      <c r="E28" s="524">
        <v>60</v>
      </c>
      <c r="F28" s="565">
        <f>IF(C28="","",VLOOKUP(C28,Input_lookup,3,FALSE))</f>
        <v>5</v>
      </c>
      <c r="G28" s="525">
        <f>IF(E28&gt;0,E28*F28,"")</f>
        <v>300</v>
      </c>
      <c r="H28" s="507"/>
    </row>
    <row r="29" spans="2:8" ht="18" customHeight="1">
      <c r="B29" s="545"/>
      <c r="C29" s="837" t="s">
        <v>706</v>
      </c>
      <c r="D29" s="565" t="str">
        <f>IF(C29="","",VLOOKUP(C29,Input_lookup,2,FALSE))</f>
        <v>each</v>
      </c>
      <c r="E29" s="524">
        <v>130</v>
      </c>
      <c r="F29" s="565">
        <f>IF(C29="","",VLOOKUP(C29,Input_lookup,3,FALSE))</f>
        <v>1.05</v>
      </c>
      <c r="G29" s="525">
        <f>IF(E29&gt;0,E29*F29,"")</f>
        <v>136.5</v>
      </c>
      <c r="H29" s="507"/>
    </row>
    <row r="30" spans="2:8" ht="18" customHeight="1">
      <c r="B30" s="545"/>
      <c r="C30" s="837" t="s">
        <v>703</v>
      </c>
      <c r="D30" s="565" t="str">
        <f>IF(C30="","",VLOOKUP(C30,Input_lookup,2,FALSE))</f>
        <v>acre</v>
      </c>
      <c r="E30" s="524">
        <v>1</v>
      </c>
      <c r="F30" s="565">
        <f>IF(C30="","",VLOOKUP(C30,Input_lookup,3,FALSE))</f>
        <v>25.55</v>
      </c>
      <c r="G30" s="525">
        <f>IF(E30&gt;0,E30*F30,"")</f>
        <v>25.55</v>
      </c>
      <c r="H30" s="507"/>
    </row>
    <row r="31" spans="2:8" ht="18" customHeight="1">
      <c r="B31" s="551"/>
      <c r="C31" s="840"/>
      <c r="D31" s="570"/>
      <c r="E31" s="567"/>
      <c r="F31" s="570"/>
      <c r="G31" s="568"/>
      <c r="H31" s="507"/>
    </row>
    <row r="32" spans="2:8" ht="18" customHeight="1">
      <c r="B32" s="540"/>
      <c r="C32" s="841" t="s">
        <v>718</v>
      </c>
      <c r="D32" s="569"/>
      <c r="E32" s="542"/>
      <c r="F32" s="569"/>
      <c r="G32" s="543">
        <f>IF(E32&gt;0,E32*F32,"")</f>
      </c>
      <c r="H32" s="507"/>
    </row>
    <row r="33" spans="2:8" ht="18" customHeight="1">
      <c r="B33" s="545" t="s">
        <v>836</v>
      </c>
      <c r="C33" s="837" t="s">
        <v>705</v>
      </c>
      <c r="D33" s="565" t="str">
        <f>IF(C33="","",VLOOKUP(C33,Input_lookup,2,FALSE))</f>
        <v>hour</v>
      </c>
      <c r="E33" s="524">
        <v>2</v>
      </c>
      <c r="F33" s="565">
        <f>IF(C33="","",VLOOKUP(C33,Input_lookup,3,FALSE))</f>
        <v>5</v>
      </c>
      <c r="G33" s="525">
        <f>IF(E33&gt;0,E33*F33,"")</f>
        <v>10</v>
      </c>
      <c r="H33" s="507"/>
    </row>
    <row r="34" spans="2:8" ht="18" customHeight="1" thickBot="1">
      <c r="B34" s="552"/>
      <c r="C34" s="847"/>
      <c r="D34" s="579"/>
      <c r="E34" s="582"/>
      <c r="F34" s="582"/>
      <c r="G34" s="580"/>
      <c r="H34" s="507"/>
    </row>
    <row r="35" spans="2:7" ht="18" customHeight="1" thickBot="1">
      <c r="B35" s="556"/>
      <c r="C35" s="557" t="s">
        <v>746</v>
      </c>
      <c r="D35" s="558"/>
      <c r="E35" s="559"/>
      <c r="F35" s="559"/>
      <c r="G35" s="560">
        <f>SUM(G11:G34)</f>
        <v>1606.6621</v>
      </c>
    </row>
    <row r="36" spans="1:7" ht="18" customHeight="1">
      <c r="A36" s="36"/>
      <c r="B36" s="36"/>
      <c r="C36" s="190"/>
      <c r="D36" s="36"/>
      <c r="E36" s="503"/>
      <c r="F36" s="503"/>
      <c r="G36" s="578"/>
    </row>
    <row r="37" spans="3:7" ht="12.75">
      <c r="C37" s="561"/>
      <c r="E37" s="562"/>
      <c r="F37" s="504"/>
      <c r="G37" s="563"/>
    </row>
  </sheetData>
  <sheetProtection/>
  <dataValidations count="1">
    <dataValidation type="list" allowBlank="1" showInputMessage="1" showErrorMessage="1" sqref="C33 C27:C31 C11:C24 C2">
      <formula1>Input_list</formula1>
    </dataValidation>
  </dataValidation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15"/>
  <dimension ref="A1:H53"/>
  <sheetViews>
    <sheetView zoomScalePageLayoutView="0" workbookViewId="0" topLeftCell="A3">
      <selection activeCell="A3" sqref="A3"/>
    </sheetView>
  </sheetViews>
  <sheetFormatPr defaultColWidth="9.140625" defaultRowHeight="12.75"/>
  <cols>
    <col min="1" max="1" width="2.7109375" style="501" customWidth="1"/>
    <col min="2" max="2" width="25.28125" style="501" customWidth="1"/>
    <col min="3" max="3" width="28.7109375" style="501" customWidth="1"/>
    <col min="4" max="4" width="18.7109375" style="501" customWidth="1"/>
    <col min="5" max="5" width="14.7109375" style="502" customWidth="1"/>
    <col min="6" max="6" width="18.7109375" style="502" customWidth="1"/>
    <col min="7" max="7" width="11.7109375" style="501" customWidth="1"/>
    <col min="8" max="8" width="11.140625" style="36" customWidth="1"/>
    <col min="9" max="16384" width="9.140625" style="501" customWidth="1"/>
  </cols>
  <sheetData>
    <row r="1" spans="2:7" ht="12.75" hidden="1">
      <c r="B1" s="843"/>
      <c r="C1" s="844"/>
      <c r="D1" s="845"/>
      <c r="E1" s="846"/>
      <c r="F1" s="846"/>
      <c r="G1" s="845"/>
    </row>
    <row r="2" spans="2:7" ht="12.75" hidden="1">
      <c r="B2" s="552"/>
      <c r="C2" s="835" t="s">
        <v>769</v>
      </c>
      <c r="D2" s="553" t="e">
        <f>IF(C2="","",VLOOKUP(C2,Input_lookup,2,FALSE))</f>
        <v>#N/A</v>
      </c>
      <c r="E2" s="548"/>
      <c r="F2" s="553" t="e">
        <f>IF(C2="","",VLOOKUP(C2,Input_lookup,3,FALSE))</f>
        <v>#N/A</v>
      </c>
      <c r="G2" s="554">
        <f>IF(E2&gt;0,E2*F2,"")</f>
      </c>
    </row>
    <row r="3" ht="15" customHeight="1">
      <c r="B3" s="36"/>
    </row>
    <row r="4" ht="24" customHeight="1">
      <c r="B4" s="555" t="s">
        <v>839</v>
      </c>
    </row>
    <row r="5" ht="24" customHeight="1">
      <c r="B5" s="842" t="s">
        <v>840</v>
      </c>
    </row>
    <row r="6" ht="15" customHeight="1">
      <c r="B6" s="555"/>
    </row>
    <row r="7" ht="15" customHeight="1" thickBot="1"/>
    <row r="8" spans="1:8" ht="30" customHeight="1" thickBot="1">
      <c r="A8" s="505"/>
      <c r="B8" s="530" t="s">
        <v>740</v>
      </c>
      <c r="C8" s="531" t="s">
        <v>766</v>
      </c>
      <c r="D8" s="533" t="s">
        <v>83</v>
      </c>
      <c r="E8" s="534" t="s">
        <v>716</v>
      </c>
      <c r="F8" s="534" t="s">
        <v>685</v>
      </c>
      <c r="G8" s="532" t="s">
        <v>720</v>
      </c>
      <c r="H8" s="550"/>
    </row>
    <row r="9" spans="2:8" ht="36" customHeight="1">
      <c r="B9" s="544" t="s">
        <v>767</v>
      </c>
      <c r="C9" s="526" t="s">
        <v>768</v>
      </c>
      <c r="D9" s="528" t="s">
        <v>747</v>
      </c>
      <c r="E9" s="527" t="s">
        <v>739</v>
      </c>
      <c r="F9" s="528" t="s">
        <v>747</v>
      </c>
      <c r="G9" s="529" t="s">
        <v>748</v>
      </c>
      <c r="H9" s="507"/>
    </row>
    <row r="10" spans="2:8" ht="18" customHeight="1">
      <c r="B10" s="535"/>
      <c r="C10" s="437" t="s">
        <v>828</v>
      </c>
      <c r="D10" s="536"/>
      <c r="E10" s="537"/>
      <c r="F10" s="538"/>
      <c r="G10" s="539"/>
      <c r="H10" s="507"/>
    </row>
    <row r="11" spans="2:8" ht="18" customHeight="1">
      <c r="B11" s="552" t="s">
        <v>683</v>
      </c>
      <c r="C11" s="835" t="s">
        <v>757</v>
      </c>
      <c r="D11" s="553" t="str">
        <f aca="true" t="shared" si="0" ref="D11:D30">IF(C11="","",VLOOKUP(C11,Input_lookup,2,FALSE))</f>
        <v>lb. ai</v>
      </c>
      <c r="E11" s="548">
        <v>2</v>
      </c>
      <c r="F11" s="553">
        <f aca="true" t="shared" si="1" ref="F11:F30">IF(C11="","",VLOOKUP(C11,Input_lookup,3,FALSE))</f>
        <v>0</v>
      </c>
      <c r="G11" s="554">
        <f>IF(E11&gt;0,E11*F11,"")</f>
        <v>0</v>
      </c>
      <c r="H11" s="507"/>
    </row>
    <row r="12" spans="2:8" ht="18" customHeight="1">
      <c r="B12" s="552"/>
      <c r="C12" s="835" t="s">
        <v>752</v>
      </c>
      <c r="D12" s="553" t="str">
        <f t="shared" si="0"/>
        <v>Specify units</v>
      </c>
      <c r="E12" s="548">
        <v>2</v>
      </c>
      <c r="F12" s="553">
        <f t="shared" si="1"/>
        <v>0</v>
      </c>
      <c r="G12" s="554">
        <f>IF(E12&gt;0,E12*F12,"")</f>
        <v>0</v>
      </c>
      <c r="H12" s="507"/>
    </row>
    <row r="13" spans="2:8" ht="18" customHeight="1">
      <c r="B13" s="552"/>
      <c r="C13" s="835" t="s">
        <v>822</v>
      </c>
      <c r="D13" s="553" t="str">
        <f t="shared" si="0"/>
        <v>Specify units</v>
      </c>
      <c r="E13" s="548">
        <v>0.5</v>
      </c>
      <c r="F13" s="553">
        <f t="shared" si="1"/>
        <v>0</v>
      </c>
      <c r="G13" s="554">
        <f>IF(E13&gt;0,E13*F13,"")</f>
        <v>0</v>
      </c>
      <c r="H13" s="507"/>
    </row>
    <row r="14" spans="2:8" ht="18" customHeight="1">
      <c r="B14" s="552" t="s">
        <v>794</v>
      </c>
      <c r="C14" s="835" t="s">
        <v>708</v>
      </c>
      <c r="D14" s="553" t="str">
        <f t="shared" si="0"/>
        <v>gallon</v>
      </c>
      <c r="E14" s="548">
        <v>9</v>
      </c>
      <c r="F14" s="553">
        <f t="shared" si="1"/>
        <v>6.75</v>
      </c>
      <c r="G14" s="554">
        <f aca="true" t="shared" si="2" ref="G14:G30">IF(E14&gt;0,E14*F14,"")</f>
        <v>60.75</v>
      </c>
      <c r="H14" s="507"/>
    </row>
    <row r="15" spans="2:8" ht="18" customHeight="1">
      <c r="B15" s="552" t="s">
        <v>795</v>
      </c>
      <c r="C15" s="835" t="s">
        <v>755</v>
      </c>
      <c r="D15" s="553" t="str">
        <f t="shared" si="0"/>
        <v>Specify units</v>
      </c>
      <c r="E15" s="548">
        <v>0.1</v>
      </c>
      <c r="F15" s="553">
        <f t="shared" si="1"/>
        <v>0</v>
      </c>
      <c r="G15" s="554">
        <f t="shared" si="2"/>
        <v>0</v>
      </c>
      <c r="H15" s="507"/>
    </row>
    <row r="16" spans="2:8" ht="18" customHeight="1">
      <c r="B16" s="552" t="s">
        <v>796</v>
      </c>
      <c r="C16" s="835" t="s">
        <v>807</v>
      </c>
      <c r="D16" s="553" t="str">
        <f t="shared" si="0"/>
        <v>lb.</v>
      </c>
      <c r="E16" s="548">
        <v>2</v>
      </c>
      <c r="F16" s="553">
        <f t="shared" si="1"/>
        <v>2</v>
      </c>
      <c r="G16" s="554">
        <f t="shared" si="2"/>
        <v>4</v>
      </c>
      <c r="H16" s="507"/>
    </row>
    <row r="17" spans="2:8" ht="18" customHeight="1">
      <c r="B17" s="552" t="s">
        <v>797</v>
      </c>
      <c r="C17" s="835" t="s">
        <v>807</v>
      </c>
      <c r="D17" s="553" t="str">
        <f t="shared" si="0"/>
        <v>lb.</v>
      </c>
      <c r="E17" s="548">
        <v>2</v>
      </c>
      <c r="F17" s="553">
        <f t="shared" si="1"/>
        <v>2</v>
      </c>
      <c r="G17" s="554">
        <f t="shared" si="2"/>
        <v>4</v>
      </c>
      <c r="H17" s="507"/>
    </row>
    <row r="18" spans="2:8" ht="18" customHeight="1">
      <c r="B18" s="552"/>
      <c r="C18" s="835" t="s">
        <v>823</v>
      </c>
      <c r="D18" s="553">
        <f t="shared" si="0"/>
        <v>0</v>
      </c>
      <c r="E18" s="548">
        <v>0.5</v>
      </c>
      <c r="F18" s="553">
        <f t="shared" si="1"/>
        <v>0</v>
      </c>
      <c r="G18" s="554">
        <f t="shared" si="2"/>
        <v>0</v>
      </c>
      <c r="H18" s="507"/>
    </row>
    <row r="19" spans="2:8" ht="18" customHeight="1">
      <c r="B19" s="552"/>
      <c r="C19" s="835" t="s">
        <v>757</v>
      </c>
      <c r="D19" s="553" t="str">
        <f t="shared" si="0"/>
        <v>lb. ai</v>
      </c>
      <c r="E19" s="548">
        <v>1</v>
      </c>
      <c r="F19" s="553">
        <f t="shared" si="1"/>
        <v>0</v>
      </c>
      <c r="G19" s="554">
        <f t="shared" si="2"/>
        <v>0</v>
      </c>
      <c r="H19" s="507"/>
    </row>
    <row r="20" spans="2:8" ht="18" customHeight="1">
      <c r="B20" s="552" t="s">
        <v>798</v>
      </c>
      <c r="C20" s="835" t="s">
        <v>807</v>
      </c>
      <c r="D20" s="553" t="str">
        <f t="shared" si="0"/>
        <v>lb.</v>
      </c>
      <c r="E20" s="548">
        <v>2</v>
      </c>
      <c r="F20" s="553">
        <f t="shared" si="1"/>
        <v>2</v>
      </c>
      <c r="G20" s="554">
        <f t="shared" si="2"/>
        <v>4</v>
      </c>
      <c r="H20" s="507"/>
    </row>
    <row r="21" spans="2:8" ht="18" customHeight="1">
      <c r="B21" s="552" t="s">
        <v>799</v>
      </c>
      <c r="C21" s="835" t="s">
        <v>807</v>
      </c>
      <c r="D21" s="553" t="str">
        <f t="shared" si="0"/>
        <v>lb.</v>
      </c>
      <c r="E21" s="548">
        <v>2</v>
      </c>
      <c r="F21" s="553">
        <f t="shared" si="1"/>
        <v>2</v>
      </c>
      <c r="G21" s="554">
        <f t="shared" si="2"/>
        <v>4</v>
      </c>
      <c r="H21" s="507"/>
    </row>
    <row r="22" spans="2:8" ht="18" customHeight="1">
      <c r="B22" s="552"/>
      <c r="C22" s="835" t="s">
        <v>824</v>
      </c>
      <c r="D22" s="553" t="str">
        <f t="shared" si="0"/>
        <v>lb.</v>
      </c>
      <c r="E22" s="548">
        <v>0.5</v>
      </c>
      <c r="F22" s="553">
        <f t="shared" si="1"/>
        <v>20</v>
      </c>
      <c r="G22" s="554">
        <f t="shared" si="2"/>
        <v>10</v>
      </c>
      <c r="H22" s="507"/>
    </row>
    <row r="23" spans="2:8" ht="18" customHeight="1">
      <c r="B23" s="552" t="s">
        <v>800</v>
      </c>
      <c r="C23" s="835" t="s">
        <v>807</v>
      </c>
      <c r="D23" s="553" t="str">
        <f t="shared" si="0"/>
        <v>lb.</v>
      </c>
      <c r="E23" s="548">
        <v>2</v>
      </c>
      <c r="F23" s="553">
        <f t="shared" si="1"/>
        <v>2</v>
      </c>
      <c r="G23" s="554">
        <f t="shared" si="2"/>
        <v>4</v>
      </c>
      <c r="H23" s="507"/>
    </row>
    <row r="24" spans="2:8" ht="18" customHeight="1">
      <c r="B24" s="552" t="s">
        <v>801</v>
      </c>
      <c r="C24" s="835" t="s">
        <v>807</v>
      </c>
      <c r="D24" s="553" t="str">
        <f t="shared" si="0"/>
        <v>lb.</v>
      </c>
      <c r="E24" s="548">
        <v>2</v>
      </c>
      <c r="F24" s="553">
        <f t="shared" si="1"/>
        <v>2</v>
      </c>
      <c r="G24" s="554">
        <f t="shared" si="2"/>
        <v>4</v>
      </c>
      <c r="H24" s="507"/>
    </row>
    <row r="25" spans="2:8" ht="18" customHeight="1">
      <c r="B25" s="552"/>
      <c r="C25" s="835" t="s">
        <v>823</v>
      </c>
      <c r="D25" s="553">
        <f t="shared" si="0"/>
        <v>0</v>
      </c>
      <c r="E25" s="548">
        <v>0.5</v>
      </c>
      <c r="F25" s="553">
        <f t="shared" si="1"/>
        <v>0</v>
      </c>
      <c r="G25" s="554">
        <f t="shared" si="2"/>
        <v>0</v>
      </c>
      <c r="H25" s="507"/>
    </row>
    <row r="26" spans="2:8" ht="18" customHeight="1">
      <c r="B26" s="552"/>
      <c r="C26" s="835" t="s">
        <v>756</v>
      </c>
      <c r="D26" s="553" t="str">
        <f t="shared" si="0"/>
        <v>lb. ai</v>
      </c>
      <c r="E26" s="548">
        <v>0.1</v>
      </c>
      <c r="F26" s="553">
        <f t="shared" si="1"/>
        <v>0</v>
      </c>
      <c r="G26" s="554">
        <f t="shared" si="2"/>
        <v>0</v>
      </c>
      <c r="H26" s="507"/>
    </row>
    <row r="27" spans="2:8" ht="18" customHeight="1">
      <c r="B27" s="552" t="s">
        <v>679</v>
      </c>
      <c r="C27" s="835" t="s">
        <v>825</v>
      </c>
      <c r="D27" s="553">
        <f t="shared" si="0"/>
        <v>0</v>
      </c>
      <c r="E27" s="548">
        <v>0.375</v>
      </c>
      <c r="F27" s="553">
        <f t="shared" si="1"/>
        <v>0</v>
      </c>
      <c r="G27" s="554">
        <f t="shared" si="2"/>
        <v>0</v>
      </c>
      <c r="H27" s="507"/>
    </row>
    <row r="28" spans="2:8" ht="18" customHeight="1">
      <c r="B28" s="552"/>
      <c r="C28" s="835" t="s">
        <v>826</v>
      </c>
      <c r="D28" s="553" t="str">
        <f t="shared" si="0"/>
        <v>Specify units</v>
      </c>
      <c r="E28" s="548">
        <v>1</v>
      </c>
      <c r="F28" s="553">
        <f t="shared" si="1"/>
        <v>0</v>
      </c>
      <c r="G28" s="554">
        <f t="shared" si="2"/>
        <v>0</v>
      </c>
      <c r="H28" s="507"/>
    </row>
    <row r="29" spans="2:8" ht="18" customHeight="1">
      <c r="B29" s="552" t="s">
        <v>802</v>
      </c>
      <c r="C29" s="835" t="s">
        <v>827</v>
      </c>
      <c r="D29" s="553" t="str">
        <f t="shared" si="0"/>
        <v>Specify units</v>
      </c>
      <c r="E29" s="548">
        <v>6</v>
      </c>
      <c r="F29" s="553">
        <f t="shared" si="1"/>
        <v>0</v>
      </c>
      <c r="G29" s="554">
        <f t="shared" si="2"/>
        <v>0</v>
      </c>
      <c r="H29" s="507"/>
    </row>
    <row r="30" spans="2:8" ht="18" customHeight="1">
      <c r="B30" s="552"/>
      <c r="C30" s="835"/>
      <c r="D30" s="553">
        <f t="shared" si="0"/>
      </c>
      <c r="E30" s="548"/>
      <c r="F30" s="553">
        <f t="shared" si="1"/>
      </c>
      <c r="G30" s="554">
        <f t="shared" si="2"/>
      </c>
      <c r="H30" s="507"/>
    </row>
    <row r="31" spans="2:8" ht="18" customHeight="1">
      <c r="B31" s="535"/>
      <c r="C31" s="841" t="s">
        <v>837</v>
      </c>
      <c r="D31" s="536"/>
      <c r="E31" s="537"/>
      <c r="F31" s="538"/>
      <c r="G31" s="539"/>
      <c r="H31" s="507"/>
    </row>
    <row r="32" spans="2:8" ht="18" customHeight="1">
      <c r="B32" s="551" t="s">
        <v>829</v>
      </c>
      <c r="C32" s="836" t="s">
        <v>705</v>
      </c>
      <c r="D32" s="523" t="str">
        <f aca="true" t="shared" si="3" ref="D32:D41">IF(C32="","",VLOOKUP(C32,Input_lookup,2,FALSE))</f>
        <v>hour</v>
      </c>
      <c r="E32" s="524">
        <v>20</v>
      </c>
      <c r="F32" s="523">
        <f aca="true" t="shared" si="4" ref="F32:F41">IF(C32="","",VLOOKUP(C32,Input_lookup,3,FALSE))</f>
        <v>5</v>
      </c>
      <c r="G32" s="525">
        <f aca="true" t="shared" si="5" ref="G32:G41">IF(E32&gt;0,E32*F32,"")</f>
        <v>100</v>
      </c>
      <c r="H32" s="507"/>
    </row>
    <row r="33" spans="2:8" ht="18" customHeight="1">
      <c r="B33" s="551" t="s">
        <v>830</v>
      </c>
      <c r="C33" s="836" t="s">
        <v>711</v>
      </c>
      <c r="D33" s="523" t="str">
        <f t="shared" si="3"/>
        <v>acre</v>
      </c>
      <c r="E33" s="524">
        <v>1</v>
      </c>
      <c r="F33" s="523">
        <f t="shared" si="4"/>
        <v>7.5</v>
      </c>
      <c r="G33" s="525">
        <f t="shared" si="5"/>
        <v>7.5</v>
      </c>
      <c r="H33" s="507"/>
    </row>
    <row r="34" spans="2:8" ht="18" customHeight="1">
      <c r="B34" s="551" t="s">
        <v>831</v>
      </c>
      <c r="C34" s="836" t="s">
        <v>713</v>
      </c>
      <c r="D34" s="523" t="str">
        <f t="shared" si="3"/>
        <v>acre</v>
      </c>
      <c r="E34" s="524">
        <v>1</v>
      </c>
      <c r="F34" s="523">
        <f t="shared" si="4"/>
        <v>1.5</v>
      </c>
      <c r="G34" s="525">
        <f t="shared" si="5"/>
        <v>1.5</v>
      </c>
      <c r="H34" s="507"/>
    </row>
    <row r="35" spans="2:8" ht="18" customHeight="1">
      <c r="B35" s="545"/>
      <c r="C35" s="836" t="s">
        <v>714</v>
      </c>
      <c r="D35" s="523" t="str">
        <f t="shared" si="3"/>
        <v>lb.</v>
      </c>
      <c r="E35" s="524">
        <v>30</v>
      </c>
      <c r="F35" s="523">
        <f t="shared" si="4"/>
        <v>0.4</v>
      </c>
      <c r="G35" s="525">
        <f t="shared" si="5"/>
        <v>12</v>
      </c>
      <c r="H35" s="507"/>
    </row>
    <row r="36" spans="2:8" ht="18" customHeight="1">
      <c r="B36" s="551" t="s">
        <v>832</v>
      </c>
      <c r="C36" s="836" t="s">
        <v>705</v>
      </c>
      <c r="D36" s="523" t="str">
        <f t="shared" si="3"/>
        <v>hour</v>
      </c>
      <c r="E36" s="524">
        <v>20</v>
      </c>
      <c r="F36" s="523">
        <f t="shared" si="4"/>
        <v>5</v>
      </c>
      <c r="G36" s="525">
        <f t="shared" si="5"/>
        <v>100</v>
      </c>
      <c r="H36" s="507"/>
    </row>
    <row r="37" spans="2:8" ht="18" customHeight="1">
      <c r="B37" s="547"/>
      <c r="C37" s="836" t="s">
        <v>702</v>
      </c>
      <c r="D37" s="523" t="str">
        <f t="shared" si="3"/>
        <v>bale</v>
      </c>
      <c r="E37" s="524">
        <v>0.2</v>
      </c>
      <c r="F37" s="523">
        <f t="shared" si="4"/>
        <v>55</v>
      </c>
      <c r="G37" s="525">
        <f t="shared" si="5"/>
        <v>11</v>
      </c>
      <c r="H37" s="507"/>
    </row>
    <row r="38" spans="2:8" ht="18" customHeight="1">
      <c r="B38" s="551" t="s">
        <v>683</v>
      </c>
      <c r="C38" s="836" t="s">
        <v>707</v>
      </c>
      <c r="D38" s="523" t="str">
        <f t="shared" si="3"/>
        <v>lb.</v>
      </c>
      <c r="E38" s="524">
        <v>600</v>
      </c>
      <c r="F38" s="523">
        <f t="shared" si="4"/>
        <v>0.111</v>
      </c>
      <c r="G38" s="525">
        <f t="shared" si="5"/>
        <v>66.6</v>
      </c>
      <c r="H38" s="507"/>
    </row>
    <row r="39" spans="2:8" ht="18" customHeight="1">
      <c r="B39" s="545" t="s">
        <v>833</v>
      </c>
      <c r="C39" s="836" t="s">
        <v>705</v>
      </c>
      <c r="D39" s="523" t="str">
        <f t="shared" si="3"/>
        <v>hour</v>
      </c>
      <c r="E39" s="524">
        <v>6</v>
      </c>
      <c r="F39" s="523">
        <f t="shared" si="4"/>
        <v>5</v>
      </c>
      <c r="G39" s="525">
        <f t="shared" si="5"/>
        <v>30</v>
      </c>
      <c r="H39" s="507"/>
    </row>
    <row r="40" spans="2:8" ht="18" customHeight="1">
      <c r="B40" s="545" t="s">
        <v>834</v>
      </c>
      <c r="C40" s="837" t="s">
        <v>705</v>
      </c>
      <c r="D40" s="523" t="str">
        <f t="shared" si="3"/>
        <v>hour</v>
      </c>
      <c r="E40" s="524">
        <v>12</v>
      </c>
      <c r="F40" s="523">
        <f t="shared" si="4"/>
        <v>5</v>
      </c>
      <c r="G40" s="525">
        <f t="shared" si="5"/>
        <v>60</v>
      </c>
      <c r="H40" s="507"/>
    </row>
    <row r="41" spans="2:8" ht="18" customHeight="1">
      <c r="B41" s="545" t="s">
        <v>835</v>
      </c>
      <c r="C41" s="837" t="s">
        <v>705</v>
      </c>
      <c r="D41" s="523" t="str">
        <f t="shared" si="3"/>
        <v>hour</v>
      </c>
      <c r="E41" s="524">
        <v>2</v>
      </c>
      <c r="F41" s="523">
        <f t="shared" si="4"/>
        <v>5</v>
      </c>
      <c r="G41" s="525">
        <f t="shared" si="5"/>
        <v>10</v>
      </c>
      <c r="H41" s="507"/>
    </row>
    <row r="42" spans="2:8" ht="18" customHeight="1">
      <c r="B42" s="549"/>
      <c r="C42" s="838"/>
      <c r="D42" s="595"/>
      <c r="E42" s="596"/>
      <c r="F42" s="596"/>
      <c r="G42" s="597"/>
      <c r="H42" s="507"/>
    </row>
    <row r="43" spans="2:8" ht="18" customHeight="1">
      <c r="B43" s="540"/>
      <c r="C43" s="839" t="s">
        <v>717</v>
      </c>
      <c r="D43" s="541"/>
      <c r="E43" s="542"/>
      <c r="F43" s="541"/>
      <c r="G43" s="543">
        <f>IF(E43&gt;0,E43*F43,"")</f>
      </c>
      <c r="H43" s="507"/>
    </row>
    <row r="44" spans="2:8" ht="18" customHeight="1">
      <c r="B44" s="545" t="s">
        <v>838</v>
      </c>
      <c r="C44" s="837" t="s">
        <v>723</v>
      </c>
      <c r="D44" s="523" t="str">
        <f>IF(C44="","",VLOOKUP(C44,Input_lookup,2,FALSE))</f>
        <v>lb.</v>
      </c>
      <c r="E44" s="524">
        <v>8000</v>
      </c>
      <c r="F44" s="523">
        <f>IF(C44="","",VLOOKUP(C44,Input_lookup,3,FALSE))</f>
        <v>0.165</v>
      </c>
      <c r="G44" s="525">
        <f>IF(E44&gt;0,E44*F44,"")</f>
        <v>1320</v>
      </c>
      <c r="H44" s="507"/>
    </row>
    <row r="45" spans="2:8" ht="18" customHeight="1">
      <c r="B45" s="545"/>
      <c r="C45" s="837" t="s">
        <v>705</v>
      </c>
      <c r="D45" s="523" t="str">
        <f>IF(C45="","",VLOOKUP(C45,Input_lookup,2,FALSE))</f>
        <v>hour</v>
      </c>
      <c r="E45" s="524">
        <v>80</v>
      </c>
      <c r="F45" s="523">
        <f>IF(C45="","",VLOOKUP(C45,Input_lookup,3,FALSE))</f>
        <v>5</v>
      </c>
      <c r="G45" s="525">
        <f>IF(E45&gt;0,E45*F45,"")</f>
        <v>400</v>
      </c>
      <c r="H45" s="507"/>
    </row>
    <row r="46" spans="2:8" ht="18" customHeight="1">
      <c r="B46" s="545"/>
      <c r="C46" s="837" t="s">
        <v>706</v>
      </c>
      <c r="D46" s="523" t="str">
        <f>IF(C46="","",VLOOKUP(C46,Input_lookup,2,FALSE))</f>
        <v>each</v>
      </c>
      <c r="E46" s="524">
        <v>260</v>
      </c>
      <c r="F46" s="523">
        <f>IF(C46="","",VLOOKUP(C46,Input_lookup,3,FALSE))</f>
        <v>1.05</v>
      </c>
      <c r="G46" s="525">
        <f>IF(E46&gt;0,E46*F46,"")</f>
        <v>273</v>
      </c>
      <c r="H46" s="507"/>
    </row>
    <row r="47" spans="2:8" ht="18" customHeight="1">
      <c r="B47" s="545"/>
      <c r="C47" s="837" t="s">
        <v>703</v>
      </c>
      <c r="D47" s="523" t="str">
        <f>IF(C47="","",VLOOKUP(C47,Input_lookup,2,FALSE))</f>
        <v>acre</v>
      </c>
      <c r="E47" s="524">
        <v>1</v>
      </c>
      <c r="F47" s="523">
        <f>IF(C47="","",VLOOKUP(C47,Input_lookup,3,FALSE))</f>
        <v>25.55</v>
      </c>
      <c r="G47" s="525">
        <f>IF(E47&gt;0,E47*F47,"")</f>
        <v>25.55</v>
      </c>
      <c r="H47" s="507"/>
    </row>
    <row r="48" spans="2:8" ht="18" customHeight="1">
      <c r="B48" s="551"/>
      <c r="C48" s="840"/>
      <c r="D48" s="566"/>
      <c r="E48" s="567"/>
      <c r="F48" s="566"/>
      <c r="G48" s="568"/>
      <c r="H48" s="507"/>
    </row>
    <row r="49" spans="2:8" ht="18" customHeight="1">
      <c r="B49" s="540"/>
      <c r="C49" s="841" t="s">
        <v>718</v>
      </c>
      <c r="D49" s="541"/>
      <c r="E49" s="542"/>
      <c r="F49" s="541"/>
      <c r="G49" s="543">
        <f>IF(E49&gt;0,E49*F49,"")</f>
      </c>
      <c r="H49" s="507"/>
    </row>
    <row r="50" spans="2:8" ht="18" customHeight="1">
      <c r="B50" s="545" t="s">
        <v>836</v>
      </c>
      <c r="C50" s="837" t="s">
        <v>705</v>
      </c>
      <c r="D50" s="523" t="str">
        <f>IF(C50="","",VLOOKUP(C50,Input_lookup,2,FALSE))</f>
        <v>hour</v>
      </c>
      <c r="E50" s="524">
        <v>2</v>
      </c>
      <c r="F50" s="523">
        <f>IF(C50="","",VLOOKUP(C50,Input_lookup,3,FALSE))</f>
        <v>5</v>
      </c>
      <c r="G50" s="525">
        <f>IF(E50&gt;0,E50*F50,"")</f>
        <v>10</v>
      </c>
      <c r="H50" s="507"/>
    </row>
    <row r="51" spans="2:8" ht="18" customHeight="1" thickBot="1">
      <c r="B51" s="545"/>
      <c r="C51" s="581"/>
      <c r="D51" s="579"/>
      <c r="E51" s="582"/>
      <c r="F51" s="582"/>
      <c r="G51" s="580"/>
      <c r="H51" s="507"/>
    </row>
    <row r="52" spans="2:7" ht="18" customHeight="1" thickBot="1">
      <c r="B52" s="556"/>
      <c r="C52" s="557" t="s">
        <v>746</v>
      </c>
      <c r="D52" s="558"/>
      <c r="E52" s="559"/>
      <c r="F52" s="559"/>
      <c r="G52" s="560">
        <f>SUM(G11:G51)</f>
        <v>2521.9</v>
      </c>
    </row>
    <row r="53" spans="1:7" ht="18" customHeight="1">
      <c r="A53" s="36"/>
      <c r="B53" s="36"/>
      <c r="C53" s="190"/>
      <c r="D53" s="36"/>
      <c r="E53" s="503"/>
      <c r="F53" s="503"/>
      <c r="G53" s="578"/>
    </row>
  </sheetData>
  <sheetProtection/>
  <dataValidations count="1">
    <dataValidation type="list" allowBlank="1" showInputMessage="1" showErrorMessage="1" sqref="C50 C44:C48 C32:C41 C11:C30 C2">
      <formula1>Input_list</formula1>
    </dataValidation>
  </dataValidations>
  <printOptions/>
  <pageMargins left="0.75" right="0.75" top="1" bottom="1" header="0.5" footer="0.5"/>
  <pageSetup horizontalDpi="200" verticalDpi="200" orientation="portrait" r:id="rId2"/>
  <drawing r:id="rId1"/>
</worksheet>
</file>

<file path=xl/worksheets/sheet9.xml><?xml version="1.0" encoding="utf-8"?>
<worksheet xmlns="http://schemas.openxmlformats.org/spreadsheetml/2006/main" xmlns:r="http://schemas.openxmlformats.org/officeDocument/2006/relationships">
  <sheetPr codeName="Sheet14"/>
  <dimension ref="A2:M40"/>
  <sheetViews>
    <sheetView zoomScalePageLayoutView="0" workbookViewId="0" topLeftCell="A1">
      <selection activeCell="A1" sqref="A1"/>
    </sheetView>
  </sheetViews>
  <sheetFormatPr defaultColWidth="9.140625" defaultRowHeight="12.75"/>
  <cols>
    <col min="1" max="1" width="42.421875" style="0" customWidth="1"/>
    <col min="2" max="12" width="11.8515625" style="0" customWidth="1"/>
  </cols>
  <sheetData>
    <row r="1" ht="18" customHeight="1"/>
    <row r="2" ht="42" customHeight="1">
      <c r="A2" s="825" t="s">
        <v>8</v>
      </c>
    </row>
    <row r="3" spans="1:9" ht="18" customHeight="1">
      <c r="A3" s="169"/>
      <c r="B3" s="169"/>
      <c r="C3" s="169"/>
      <c r="D3" s="169"/>
      <c r="E3" s="169"/>
      <c r="F3" s="169"/>
      <c r="G3" s="169"/>
      <c r="H3" s="169"/>
      <c r="I3" s="169"/>
    </row>
    <row r="4" spans="1:12" ht="18" customHeight="1">
      <c r="A4" s="589"/>
      <c r="B4" s="590">
        <v>2004</v>
      </c>
      <c r="C4" s="590">
        <f>B4+1</f>
        <v>2005</v>
      </c>
      <c r="D4" s="590">
        <f aca="true" t="shared" si="0" ref="D4:L4">C4+1</f>
        <v>2006</v>
      </c>
      <c r="E4" s="590">
        <f t="shared" si="0"/>
        <v>2007</v>
      </c>
      <c r="F4" s="590">
        <f t="shared" si="0"/>
        <v>2008</v>
      </c>
      <c r="G4" s="590">
        <f t="shared" si="0"/>
        <v>2009</v>
      </c>
      <c r="H4" s="590">
        <f t="shared" si="0"/>
        <v>2010</v>
      </c>
      <c r="I4" s="590">
        <f t="shared" si="0"/>
        <v>2011</v>
      </c>
      <c r="J4" s="590">
        <f t="shared" si="0"/>
        <v>2012</v>
      </c>
      <c r="K4" s="590">
        <f t="shared" si="0"/>
        <v>2013</v>
      </c>
      <c r="L4" s="590">
        <f t="shared" si="0"/>
        <v>2014</v>
      </c>
    </row>
    <row r="5" spans="1:12" ht="18" customHeight="1">
      <c r="A5" s="591" t="s">
        <v>777</v>
      </c>
      <c r="B5" s="592"/>
      <c r="C5" s="592"/>
      <c r="D5" s="592"/>
      <c r="E5" s="592"/>
      <c r="F5" s="592"/>
      <c r="G5" s="592"/>
      <c r="H5" s="592"/>
      <c r="I5" s="592"/>
      <c r="J5" s="592"/>
      <c r="K5" s="592"/>
      <c r="L5" s="592"/>
    </row>
    <row r="6" spans="1:12" ht="18" customHeight="1">
      <c r="A6" s="583" t="s">
        <v>741</v>
      </c>
      <c r="B6" s="882" t="s">
        <v>7</v>
      </c>
      <c r="C6" s="883"/>
      <c r="D6" s="883"/>
      <c r="E6" s="883"/>
      <c r="F6" s="883"/>
      <c r="G6" s="883"/>
      <c r="H6" s="883"/>
      <c r="I6" s="883"/>
      <c r="J6" s="883"/>
      <c r="K6" s="883"/>
      <c r="L6" s="884"/>
    </row>
    <row r="7" spans="1:12" ht="18" customHeight="1">
      <c r="A7" s="584" t="s">
        <v>780</v>
      </c>
      <c r="B7" s="614">
        <v>0</v>
      </c>
      <c r="C7" s="614">
        <v>0</v>
      </c>
      <c r="D7" s="614">
        <v>0</v>
      </c>
      <c r="E7" s="614">
        <v>0</v>
      </c>
      <c r="F7" s="614">
        <v>0</v>
      </c>
      <c r="G7" s="614">
        <v>0</v>
      </c>
      <c r="H7" s="614">
        <v>0</v>
      </c>
      <c r="I7" s="614">
        <v>0</v>
      </c>
      <c r="J7" s="614">
        <v>0</v>
      </c>
      <c r="K7" s="614">
        <v>0</v>
      </c>
      <c r="L7" s="614">
        <v>0</v>
      </c>
    </row>
    <row r="8" spans="1:12" ht="18" customHeight="1">
      <c r="A8" s="584" t="s">
        <v>781</v>
      </c>
      <c r="B8" s="614">
        <v>0</v>
      </c>
      <c r="C8" s="615">
        <f>B7</f>
        <v>0</v>
      </c>
      <c r="D8" s="615">
        <v>0</v>
      </c>
      <c r="E8" s="615">
        <v>0</v>
      </c>
      <c r="F8" s="615">
        <v>0</v>
      </c>
      <c r="G8" s="615">
        <v>0</v>
      </c>
      <c r="H8" s="615">
        <v>0</v>
      </c>
      <c r="I8" s="615">
        <v>0</v>
      </c>
      <c r="J8" s="615">
        <v>0</v>
      </c>
      <c r="K8" s="615">
        <v>0</v>
      </c>
      <c r="L8" s="615">
        <v>0</v>
      </c>
    </row>
    <row r="9" spans="1:12" ht="18" customHeight="1">
      <c r="A9" s="584" t="s">
        <v>784</v>
      </c>
      <c r="B9" s="614">
        <v>17</v>
      </c>
      <c r="C9" s="615">
        <f>B9+B8</f>
        <v>17</v>
      </c>
      <c r="D9" s="615">
        <f aca="true" t="shared" si="1" ref="D9:L9">C9+C8</f>
        <v>17</v>
      </c>
      <c r="E9" s="615">
        <f t="shared" si="1"/>
        <v>17</v>
      </c>
      <c r="F9" s="615">
        <f t="shared" si="1"/>
        <v>17</v>
      </c>
      <c r="G9" s="615">
        <f t="shared" si="1"/>
        <v>17</v>
      </c>
      <c r="H9" s="615">
        <f t="shared" si="1"/>
        <v>17</v>
      </c>
      <c r="I9" s="615">
        <f t="shared" si="1"/>
        <v>17</v>
      </c>
      <c r="J9" s="615">
        <f t="shared" si="1"/>
        <v>17</v>
      </c>
      <c r="K9" s="615">
        <f t="shared" si="1"/>
        <v>17</v>
      </c>
      <c r="L9" s="615">
        <f t="shared" si="1"/>
        <v>17</v>
      </c>
    </row>
    <row r="10" spans="1:12" ht="18" customHeight="1">
      <c r="A10" s="585" t="s">
        <v>27</v>
      </c>
      <c r="B10" s="586">
        <f>SUM(B7:B9)</f>
        <v>17</v>
      </c>
      <c r="C10" s="586">
        <f aca="true" t="shared" si="2" ref="C10:L10">SUM(C7:C9)</f>
        <v>17</v>
      </c>
      <c r="D10" s="586">
        <f t="shared" si="2"/>
        <v>17</v>
      </c>
      <c r="E10" s="586">
        <f t="shared" si="2"/>
        <v>17</v>
      </c>
      <c r="F10" s="586">
        <f t="shared" si="2"/>
        <v>17</v>
      </c>
      <c r="G10" s="586">
        <f t="shared" si="2"/>
        <v>17</v>
      </c>
      <c r="H10" s="586">
        <f t="shared" si="2"/>
        <v>17</v>
      </c>
      <c r="I10" s="586">
        <f t="shared" si="2"/>
        <v>17</v>
      </c>
      <c r="J10" s="586">
        <f t="shared" si="2"/>
        <v>17</v>
      </c>
      <c r="K10" s="586">
        <f t="shared" si="2"/>
        <v>17</v>
      </c>
      <c r="L10" s="586">
        <f t="shared" si="2"/>
        <v>17</v>
      </c>
    </row>
    <row r="11" spans="1:12" ht="18" customHeight="1">
      <c r="A11" s="587"/>
      <c r="B11" s="588"/>
      <c r="C11" s="588"/>
      <c r="D11" s="588"/>
      <c r="E11" s="588"/>
      <c r="F11" s="588"/>
      <c r="G11" s="588"/>
      <c r="H11" s="588"/>
      <c r="I11" s="588"/>
      <c r="J11" s="588"/>
      <c r="K11" s="588"/>
      <c r="L11" s="588"/>
    </row>
    <row r="12" spans="1:13" ht="18" customHeight="1">
      <c r="A12" s="591" t="s">
        <v>26</v>
      </c>
      <c r="B12" s="592"/>
      <c r="C12" s="592"/>
      <c r="D12" s="592"/>
      <c r="E12" s="592"/>
      <c r="F12" s="592"/>
      <c r="G12" s="592"/>
      <c r="H12" s="592"/>
      <c r="I12" s="592"/>
      <c r="J12" s="592"/>
      <c r="K12" s="592"/>
      <c r="L12" s="592"/>
      <c r="M12" s="423"/>
    </row>
    <row r="13" spans="1:13" ht="18" customHeight="1">
      <c r="A13" s="617"/>
      <c r="B13" s="618"/>
      <c r="C13" s="618"/>
      <c r="D13" s="618"/>
      <c r="E13" s="618"/>
      <c r="F13" s="618"/>
      <c r="G13" s="618"/>
      <c r="H13" s="618"/>
      <c r="I13" s="618"/>
      <c r="J13" s="618"/>
      <c r="K13" s="618"/>
      <c r="L13" s="618"/>
      <c r="M13" s="423"/>
    </row>
    <row r="14" spans="1:13" ht="18" customHeight="1">
      <c r="A14" s="862" t="s">
        <v>783</v>
      </c>
      <c r="B14" s="863"/>
      <c r="C14" s="864" t="s">
        <v>855</v>
      </c>
      <c r="M14" s="423"/>
    </row>
    <row r="15" spans="1:13" ht="18" customHeight="1">
      <c r="A15" s="584" t="s">
        <v>300</v>
      </c>
      <c r="B15" s="855">
        <f>'Buffer Builder'!B87</f>
        <v>0</v>
      </c>
      <c r="M15" s="423"/>
    </row>
    <row r="16" spans="1:13" ht="18" customHeight="1">
      <c r="A16" s="584" t="s">
        <v>301</v>
      </c>
      <c r="B16" s="855">
        <f>'Buffer Builder'!B88</f>
        <v>0</v>
      </c>
      <c r="M16" s="423"/>
    </row>
    <row r="17" spans="1:13" ht="18" customHeight="1">
      <c r="A17" s="584" t="s">
        <v>303</v>
      </c>
      <c r="B17" s="855">
        <f>'Buffer Builder'!B90</f>
        <v>0</v>
      </c>
      <c r="M17" s="423"/>
    </row>
    <row r="18" spans="1:13" ht="18" customHeight="1">
      <c r="A18" s="584" t="s">
        <v>304</v>
      </c>
      <c r="B18" s="855">
        <f>'Buffer Builder'!B91</f>
        <v>0</v>
      </c>
      <c r="M18" s="423"/>
    </row>
    <row r="19" spans="1:13" ht="18" customHeight="1">
      <c r="A19" s="584" t="s">
        <v>305</v>
      </c>
      <c r="B19" s="855">
        <f>'Buffer Builder'!B92</f>
        <v>3.443526170798898</v>
      </c>
      <c r="M19" s="423"/>
    </row>
    <row r="20" spans="1:13" ht="18" customHeight="1">
      <c r="A20" s="584" t="s">
        <v>306</v>
      </c>
      <c r="B20" s="855">
        <f>'Buffer Builder'!B93</f>
        <v>0</v>
      </c>
      <c r="M20" s="423"/>
    </row>
    <row r="21" spans="1:13" ht="18" customHeight="1">
      <c r="A21" s="584" t="s">
        <v>302</v>
      </c>
      <c r="B21" s="855">
        <f>'Buffer Builder'!B89</f>
        <v>0</v>
      </c>
      <c r="M21" s="423"/>
    </row>
    <row r="22" spans="1:13" ht="18" customHeight="1">
      <c r="A22" s="585" t="s">
        <v>778</v>
      </c>
      <c r="B22" s="854">
        <f>SUM(B15:B21)</f>
        <v>3.443526170798898</v>
      </c>
      <c r="M22" s="423"/>
    </row>
    <row r="23" spans="1:13" ht="18" customHeight="1">
      <c r="A23" s="617"/>
      <c r="B23" s="618"/>
      <c r="C23" s="618"/>
      <c r="D23" s="618"/>
      <c r="J23" s="618"/>
      <c r="K23" s="618"/>
      <c r="L23" s="618"/>
      <c r="M23" s="423"/>
    </row>
    <row r="24" spans="1:13" ht="18" customHeight="1">
      <c r="A24" s="862" t="s">
        <v>741</v>
      </c>
      <c r="B24" s="865"/>
      <c r="C24" s="885" t="s">
        <v>856</v>
      </c>
      <c r="D24" s="885"/>
      <c r="E24" s="885"/>
      <c r="F24" s="885"/>
      <c r="G24" s="885"/>
      <c r="H24" s="885"/>
      <c r="I24" s="885"/>
      <c r="J24" s="885"/>
      <c r="K24" s="885"/>
      <c r="L24" s="885"/>
      <c r="M24" s="423"/>
    </row>
    <row r="25" spans="1:13" ht="18" customHeight="1">
      <c r="A25" s="584" t="s">
        <v>780</v>
      </c>
      <c r="B25" s="853">
        <v>0</v>
      </c>
      <c r="C25" s="885"/>
      <c r="D25" s="885"/>
      <c r="E25" s="885"/>
      <c r="F25" s="885"/>
      <c r="G25" s="885"/>
      <c r="H25" s="885"/>
      <c r="I25" s="885"/>
      <c r="J25" s="885"/>
      <c r="K25" s="885"/>
      <c r="L25" s="885"/>
      <c r="M25" s="423"/>
    </row>
    <row r="26" spans="1:13" ht="18" customHeight="1">
      <c r="A26" s="584" t="s">
        <v>781</v>
      </c>
      <c r="B26" s="853">
        <v>0</v>
      </c>
      <c r="C26" s="885"/>
      <c r="D26" s="885"/>
      <c r="E26" s="885"/>
      <c r="F26" s="885"/>
      <c r="G26" s="885"/>
      <c r="H26" s="885"/>
      <c r="I26" s="885"/>
      <c r="J26" s="885"/>
      <c r="K26" s="885"/>
      <c r="L26" s="885"/>
      <c r="M26" s="423"/>
    </row>
    <row r="27" spans="1:13" ht="26.25" customHeight="1">
      <c r="A27" s="584" t="s">
        <v>784</v>
      </c>
      <c r="B27" s="853">
        <f>B22</f>
        <v>3.443526170798898</v>
      </c>
      <c r="M27" s="423"/>
    </row>
    <row r="28" spans="2:12" ht="18" customHeight="1">
      <c r="B28">
        <f>IF(SUM(B15:B21)=SUM(B25:B27),"","ERROR")</f>
      </c>
      <c r="D28">
        <f aca="true" t="shared" si="3" ref="D28:L28">IF(SUM(D15:D20)=SUM(D25:D27),"","ERROR")</f>
      </c>
      <c r="E28">
        <f t="shared" si="3"/>
      </c>
      <c r="F28">
        <f t="shared" si="3"/>
      </c>
      <c r="G28">
        <f t="shared" si="3"/>
      </c>
      <c r="H28">
        <f t="shared" si="3"/>
      </c>
      <c r="I28">
        <f t="shared" si="3"/>
      </c>
      <c r="J28">
        <f t="shared" si="3"/>
      </c>
      <c r="K28">
        <f t="shared" si="3"/>
      </c>
      <c r="L28">
        <f t="shared" si="3"/>
      </c>
    </row>
    <row r="29" spans="1:3" ht="18" customHeight="1">
      <c r="A29" s="866" t="s">
        <v>86</v>
      </c>
      <c r="B29" s="867">
        <f>SUM(B25:B27)</f>
        <v>3.443526170798898</v>
      </c>
      <c r="C29" s="856" t="str">
        <f>"This total should equal "&amp;ROUND(B22,2)&amp;" acres."</f>
        <v>This total should equal 3.44 acres.</v>
      </c>
    </row>
    <row r="30" ht="18" customHeight="1"/>
    <row r="31" ht="18" customHeight="1">
      <c r="A31" s="134"/>
    </row>
    <row r="32" spans="1:12" ht="18" customHeight="1">
      <c r="A32" s="591" t="s">
        <v>6</v>
      </c>
      <c r="B32" s="592"/>
      <c r="C32" s="592"/>
      <c r="D32" s="592"/>
      <c r="E32" s="592"/>
      <c r="F32" s="592"/>
      <c r="G32" s="592"/>
      <c r="H32" s="592"/>
      <c r="I32" s="592"/>
      <c r="J32" s="592"/>
      <c r="K32" s="592"/>
      <c r="L32" s="592"/>
    </row>
    <row r="33" spans="1:12" ht="18" customHeight="1">
      <c r="A33" s="583" t="s">
        <v>741</v>
      </c>
      <c r="B33" s="615"/>
      <c r="C33" s="615"/>
      <c r="D33" s="615"/>
      <c r="E33" s="615"/>
      <c r="F33" s="615"/>
      <c r="G33" s="615"/>
      <c r="H33" s="615"/>
      <c r="I33" s="615"/>
      <c r="J33" s="615"/>
      <c r="K33" s="615"/>
      <c r="L33" s="615"/>
    </row>
    <row r="34" spans="1:12" ht="18" customHeight="1">
      <c r="A34" s="584" t="s">
        <v>780</v>
      </c>
      <c r="B34" s="615">
        <f>B7-B25</f>
        <v>0</v>
      </c>
      <c r="C34" s="615">
        <f>C7</f>
        <v>0</v>
      </c>
      <c r="D34" s="615">
        <f aca="true" t="shared" si="4" ref="D34:L34">D7</f>
        <v>0</v>
      </c>
      <c r="E34" s="615">
        <f t="shared" si="4"/>
        <v>0</v>
      </c>
      <c r="F34" s="615">
        <f t="shared" si="4"/>
        <v>0</v>
      </c>
      <c r="G34" s="615">
        <f t="shared" si="4"/>
        <v>0</v>
      </c>
      <c r="H34" s="615">
        <f t="shared" si="4"/>
        <v>0</v>
      </c>
      <c r="I34" s="615">
        <f t="shared" si="4"/>
        <v>0</v>
      </c>
      <c r="J34" s="615">
        <f t="shared" si="4"/>
        <v>0</v>
      </c>
      <c r="K34" s="615">
        <f t="shared" si="4"/>
        <v>0</v>
      </c>
      <c r="L34" s="615">
        <f t="shared" si="4"/>
        <v>0</v>
      </c>
    </row>
    <row r="35" spans="1:12" ht="18" customHeight="1">
      <c r="A35" s="584" t="s">
        <v>781</v>
      </c>
      <c r="B35" s="615">
        <f>B8-B26</f>
        <v>0</v>
      </c>
      <c r="C35" s="615">
        <f>B34</f>
        <v>0</v>
      </c>
      <c r="D35" s="615">
        <f aca="true" t="shared" si="5" ref="D35:L35">C34</f>
        <v>0</v>
      </c>
      <c r="E35" s="615">
        <f t="shared" si="5"/>
        <v>0</v>
      </c>
      <c r="F35" s="615">
        <f t="shared" si="5"/>
        <v>0</v>
      </c>
      <c r="G35" s="615">
        <f t="shared" si="5"/>
        <v>0</v>
      </c>
      <c r="H35" s="615">
        <f t="shared" si="5"/>
        <v>0</v>
      </c>
      <c r="I35" s="615">
        <f t="shared" si="5"/>
        <v>0</v>
      </c>
      <c r="J35" s="615">
        <f t="shared" si="5"/>
        <v>0</v>
      </c>
      <c r="K35" s="615">
        <f t="shared" si="5"/>
        <v>0</v>
      </c>
      <c r="L35" s="615">
        <f t="shared" si="5"/>
        <v>0</v>
      </c>
    </row>
    <row r="36" spans="1:12" ht="18" customHeight="1">
      <c r="A36" s="584" t="s">
        <v>784</v>
      </c>
      <c r="B36" s="616">
        <f>B9-B27</f>
        <v>13.556473829201103</v>
      </c>
      <c r="C36" s="616">
        <f>B36+B35</f>
        <v>13.556473829201103</v>
      </c>
      <c r="D36" s="616">
        <f aca="true" t="shared" si="6" ref="D36:L36">C36+C35</f>
        <v>13.556473829201103</v>
      </c>
      <c r="E36" s="616">
        <f t="shared" si="6"/>
        <v>13.556473829201103</v>
      </c>
      <c r="F36" s="616">
        <f t="shared" si="6"/>
        <v>13.556473829201103</v>
      </c>
      <c r="G36" s="616">
        <f t="shared" si="6"/>
        <v>13.556473829201103</v>
      </c>
      <c r="H36" s="616">
        <f t="shared" si="6"/>
        <v>13.556473829201103</v>
      </c>
      <c r="I36" s="616">
        <f t="shared" si="6"/>
        <v>13.556473829201103</v>
      </c>
      <c r="J36" s="616">
        <f t="shared" si="6"/>
        <v>13.556473829201103</v>
      </c>
      <c r="K36" s="616">
        <f t="shared" si="6"/>
        <v>13.556473829201103</v>
      </c>
      <c r="L36" s="616">
        <f t="shared" si="6"/>
        <v>13.556473829201103</v>
      </c>
    </row>
    <row r="37" spans="1:12" ht="18" customHeight="1">
      <c r="A37" s="585" t="s">
        <v>9</v>
      </c>
      <c r="B37" s="619">
        <f>SUM(B33:B36)</f>
        <v>13.556473829201103</v>
      </c>
      <c r="C37" s="619">
        <f aca="true" t="shared" si="7" ref="C37:L37">SUM(C33:C36)</f>
        <v>13.556473829201103</v>
      </c>
      <c r="D37" s="619">
        <f t="shared" si="7"/>
        <v>13.556473829201103</v>
      </c>
      <c r="E37" s="619">
        <f t="shared" si="7"/>
        <v>13.556473829201103</v>
      </c>
      <c r="F37" s="619">
        <f t="shared" si="7"/>
        <v>13.556473829201103</v>
      </c>
      <c r="G37" s="619">
        <f t="shared" si="7"/>
        <v>13.556473829201103</v>
      </c>
      <c r="H37" s="619">
        <f t="shared" si="7"/>
        <v>13.556473829201103</v>
      </c>
      <c r="I37" s="619">
        <f t="shared" si="7"/>
        <v>13.556473829201103</v>
      </c>
      <c r="J37" s="619">
        <f t="shared" si="7"/>
        <v>13.556473829201103</v>
      </c>
      <c r="K37" s="619">
        <f t="shared" si="7"/>
        <v>13.556473829201103</v>
      </c>
      <c r="L37" s="619">
        <f t="shared" si="7"/>
        <v>13.556473829201103</v>
      </c>
    </row>
    <row r="38" spans="1:12" ht="18" customHeight="1">
      <c r="A38" s="861"/>
      <c r="B38" s="578"/>
      <c r="C38" s="578"/>
      <c r="D38" s="578"/>
      <c r="E38" s="578"/>
      <c r="F38" s="578"/>
      <c r="G38" s="578"/>
      <c r="H38" s="578"/>
      <c r="I38" s="578"/>
      <c r="J38" s="578"/>
      <c r="K38" s="578"/>
      <c r="L38" s="578"/>
    </row>
    <row r="39" spans="1:12" ht="36" customHeight="1">
      <c r="A39" s="886" t="s">
        <v>857</v>
      </c>
      <c r="B39" s="887"/>
      <c r="C39" s="887"/>
      <c r="D39" s="887"/>
      <c r="E39" s="887"/>
      <c r="F39" s="887"/>
      <c r="G39" s="887"/>
      <c r="H39" s="887"/>
      <c r="I39" s="887"/>
      <c r="J39" s="887"/>
      <c r="K39" s="887"/>
      <c r="L39" s="887"/>
    </row>
    <row r="40" spans="1:12" ht="80.25" customHeight="1">
      <c r="A40" s="593" t="s">
        <v>779</v>
      </c>
      <c r="B40" s="594" t="str">
        <f>IF(B10&gt;B22+B37,"Acreage is unaccounted for in the Buffer Scenario.",IF(B10&lt;B22+B37,"Excess acreage in the Buffer Scenario.","Okay."))</f>
        <v>Okay.</v>
      </c>
      <c r="C40" s="594" t="str">
        <f>IF(C10&gt;SUM($B22:C22)+C37,"Acreage is unaccounted for in the Buffer Scenario.",IF(C10&lt;SUM($B22:C22)+C37,"Excess acreage in the Buffer Scenario.","Okay."))</f>
        <v>Okay.</v>
      </c>
      <c r="D40" s="594" t="str">
        <f>IF(D10&gt;SUM($B22:D22)+D37,"Acreage is unaccounted for in the Buffer Scenario.",IF(D10&lt;SUM($B22:D22)+D37,"Excess acreage in the Buffer Scenario.","Okay."))</f>
        <v>Okay.</v>
      </c>
      <c r="E40" s="594" t="str">
        <f>IF(E10&gt;SUM($B22:E22)+E37,"Acreage is unaccounted for in the Buffer Scenario.",IF(E10&lt;SUM($B22:E22)+E37,"Excess acreage in the Buffer Scenario.","Okay."))</f>
        <v>Okay.</v>
      </c>
      <c r="F40" s="594" t="str">
        <f>IF(F10&gt;SUM($B22:F22)+F37,"Acreage is unaccounted for in the Buffer Scenario.",IF(F10&lt;SUM($B22:F22)+F37,"Excess acreage in the Buffer Scenario.","Okay."))</f>
        <v>Okay.</v>
      </c>
      <c r="G40" s="594" t="str">
        <f>IF(G10&gt;SUM($B22:G22)+G37,"Acreage is unaccounted for in the Buffer Scenario.",IF(G10&lt;SUM($B22:G22)+G37,"Excess acreage in the Buffer Scenario.","Okay."))</f>
        <v>Okay.</v>
      </c>
      <c r="H40" s="594" t="str">
        <f>IF(H10&gt;SUM($B22:H22)+H37,"Acreage is unaccounted for in the Buffer Scenario.",IF(H10&lt;SUM($B22:H22)+H37,"Excess acreage in the Buffer Scenario.","Okay."))</f>
        <v>Okay.</v>
      </c>
      <c r="I40" s="594" t="str">
        <f>IF(I10&gt;SUM($B22:I22)+I37,"Acreage is unaccounted for in the Buffer Scenario.",IF(I10&lt;SUM($B22:I22)+I37,"Excess acreage in the Buffer Scenario.","Okay."))</f>
        <v>Okay.</v>
      </c>
      <c r="J40" s="594" t="str">
        <f>IF(J10&gt;SUM($B22:J22)+J37,"Acreage is unaccounted for in the Buffer Scenario.",IF(J10&lt;SUM($B22:J22)+J37,"Excess acreage in the Buffer Scenario.","Okay."))</f>
        <v>Okay.</v>
      </c>
      <c r="K40" s="594" t="str">
        <f>IF(K10&gt;SUM($B22:K22)+K37,"Acreage is unaccounted for in the Buffer Scenario.",IF(K10&lt;SUM($B22:K22)+K37,"Excess acreage in the Buffer Scenario.","Okay."))</f>
        <v>Okay.</v>
      </c>
      <c r="L40" s="594" t="str">
        <f>IF(L10&gt;SUM($B22:L22)+L37,"Acreage is unaccounted for in the Buffer Scenario.",IF(L10&lt;SUM($B22:L22)+L37,"Excess acreage in the Buffer Scenario.","Okay."))</f>
        <v>Okay.</v>
      </c>
    </row>
  </sheetData>
  <sheetProtection/>
  <mergeCells count="3">
    <mergeCell ref="B6:L6"/>
    <mergeCell ref="C24:L26"/>
    <mergeCell ref="A39:L3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Raspberry Budget Tool</dc:title>
  <dc:subject/>
  <dc:creator>Neal Johnson</dc:creator>
  <cp:keywords/>
  <dc:description>From v. 3</dc:description>
  <cp:lastModifiedBy>Phillip Cahan</cp:lastModifiedBy>
  <cp:lastPrinted>2003-12-17T22:21:35Z</cp:lastPrinted>
  <dcterms:created xsi:type="dcterms:W3CDTF">2003-08-21T17:30:43Z</dcterms:created>
  <dcterms:modified xsi:type="dcterms:W3CDTF">2006-06-06T02:41:48Z</dcterms:modified>
  <cp:category/>
  <cp:version/>
  <cp:contentType/>
  <cp:contentStatus/>
</cp:coreProperties>
</file>