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05" yWindow="5505" windowWidth="17400" windowHeight="6330" tabRatio="797" activeTab="0"/>
  </bookViews>
  <sheets>
    <sheet name="Title page" sheetId="1" r:id="rId1"/>
    <sheet name="Econ Impact Summary" sheetId="2" r:id="rId2"/>
    <sheet name="Farm and Buffer Assumptions" sheetId="3" r:id="rId3"/>
    <sheet name="Prices" sheetId="4" r:id="rId4"/>
    <sheet name="Equipment and Investment" sheetId="5" r:id="rId5"/>
    <sheet name="Budget w.o. Buffer" sheetId="6" r:id="rId6"/>
    <sheet name="Buffer Builder" sheetId="7" r:id="rId7"/>
    <sheet name="Budget with Buffer" sheetId="8" r:id="rId8"/>
    <sheet name="Buffer Budgets" sheetId="9" r:id="rId9"/>
    <sheet name="Buffer Harvest Sched" sheetId="10" r:id="rId10"/>
  </sheets>
  <definedNames>
    <definedName name="_xlnm.Print_Area" localSheetId="5">'Budget w.o. Buffer'!$A$1:$F$61</definedName>
    <definedName name="_xlnm.Print_Area" localSheetId="7">'Budget with Buffer'!$A$1:$G$65</definedName>
    <definedName name="_xlnm.Print_Area" localSheetId="8">'Buffer Budgets'!$A$111:$H$138</definedName>
    <definedName name="_xlnm.Print_Area" localSheetId="6">'Buffer Builder'!$A$1:$D$163</definedName>
    <definedName name="_xlnm.Print_Area" localSheetId="1">'Econ Impact Summary'!$A$1:$R$42</definedName>
    <definedName name="_xlnm.Print_Area" localSheetId="4">'Equipment and Investment'!$A$66:$I$126</definedName>
    <definedName name="_xlnm.Print_Area" localSheetId="2">'Farm and Buffer Assumptions'!$A$1:$D$85</definedName>
    <definedName name="_xlnm.Print_Area" localSheetId="3">'Prices'!$A$1:$F$54</definedName>
    <definedName name="_xlnm.Print_Area" localSheetId="0">'Title page'!$A$1:$A$34</definedName>
    <definedName name="Z_6A71A50D_04D3_4999_951D_FB2062AD4EF5_.wvu.PrintArea" localSheetId="5" hidden="1">'Budget w.o. Buffer'!$A$1:$F$61</definedName>
    <definedName name="Z_6A71A50D_04D3_4999_951D_FB2062AD4EF5_.wvu.PrintArea" localSheetId="7" hidden="1">'Budget with Buffer'!$A$1:$F$65</definedName>
    <definedName name="Z_6A71A50D_04D3_4999_951D_FB2062AD4EF5_.wvu.PrintArea" localSheetId="8" hidden="1">'Buffer Budgets'!$A$111:$H$138</definedName>
    <definedName name="Z_6A71A50D_04D3_4999_951D_FB2062AD4EF5_.wvu.PrintArea" localSheetId="6" hidden="1">'Buffer Builder'!$A$1:$D$163</definedName>
    <definedName name="Z_6A71A50D_04D3_4999_951D_FB2062AD4EF5_.wvu.PrintArea" localSheetId="1" hidden="1">'Econ Impact Summary'!$A$1:$H$35</definedName>
    <definedName name="Z_6A71A50D_04D3_4999_951D_FB2062AD4EF5_.wvu.PrintArea" localSheetId="4" hidden="1">'Equipment and Investment'!$A$66:$I$126</definedName>
    <definedName name="Z_6A71A50D_04D3_4999_951D_FB2062AD4EF5_.wvu.PrintArea" localSheetId="2" hidden="1">'Farm and Buffer Assumptions'!$A$1:$D$85</definedName>
    <definedName name="Z_6A71A50D_04D3_4999_951D_FB2062AD4EF5_.wvu.PrintArea" localSheetId="3" hidden="1">'Prices'!$A$1:$F$54</definedName>
    <definedName name="Z_6A71A50D_04D3_4999_951D_FB2062AD4EF5_.wvu.PrintArea" localSheetId="0" hidden="1">'Title page'!$A$1:$A$34</definedName>
  </definedNames>
  <calcPr fullCalcOnLoad="1"/>
</workbook>
</file>

<file path=xl/comments10.xml><?xml version="1.0" encoding="utf-8"?>
<comments xmlns="http://schemas.openxmlformats.org/spreadsheetml/2006/main">
  <authors>
    <author>Carolyn J. Henri</author>
  </authors>
  <commentList>
    <comment ref="B31" authorId="0">
      <text>
        <r>
          <rPr>
            <sz val="8"/>
            <rFont val="Tahoma"/>
            <family val="0"/>
          </rPr>
          <t xml:space="preserve">
Enter # of stems of Red Alder  planted PER ACRE.  
</t>
        </r>
      </text>
    </comment>
    <comment ref="D31" authorId="0">
      <text>
        <r>
          <rPr>
            <b/>
            <sz val="8"/>
            <rFont val="Tahoma"/>
            <family val="0"/>
          </rPr>
          <t>Carolyn J. Henri:</t>
        </r>
        <r>
          <rPr>
            <sz val="8"/>
            <rFont val="Tahoma"/>
            <family val="0"/>
          </rPr>
          <t xml:space="preserve">
Thinning
Not commercial</t>
        </r>
      </text>
    </comment>
    <comment ref="E31" authorId="0">
      <text>
        <r>
          <rPr>
            <b/>
            <sz val="8"/>
            <rFont val="Tahoma"/>
            <family val="0"/>
          </rPr>
          <t>Carolyn J. Henri:</t>
        </r>
        <r>
          <rPr>
            <sz val="8"/>
            <rFont val="Tahoma"/>
            <family val="0"/>
          </rPr>
          <t xml:space="preserve">
5000 board feet
20 yr old trees</t>
        </r>
      </text>
    </comment>
    <comment ref="E32" authorId="0">
      <text>
        <r>
          <rPr>
            <b/>
            <sz val="8"/>
            <rFont val="Tahoma"/>
            <family val="0"/>
          </rPr>
          <t>Carolyn J. Henri:</t>
        </r>
        <r>
          <rPr>
            <sz val="8"/>
            <rFont val="Tahoma"/>
            <family val="0"/>
          </rPr>
          <t xml:space="preserve">
Remaining stems</t>
        </r>
      </text>
    </comment>
    <comment ref="I32" authorId="0">
      <text>
        <r>
          <rPr>
            <b/>
            <sz val="8"/>
            <rFont val="Tahoma"/>
            <family val="0"/>
          </rPr>
          <t>Carolyn J. Henri:</t>
        </r>
        <r>
          <rPr>
            <sz val="8"/>
            <rFont val="Tahoma"/>
            <family val="0"/>
          </rPr>
          <t xml:space="preserve">
40 yr old trees</t>
        </r>
      </text>
    </comment>
    <comment ref="I33" authorId="0">
      <text>
        <r>
          <rPr>
            <b/>
            <sz val="8"/>
            <rFont val="Tahoma"/>
            <family val="0"/>
          </rPr>
          <t>Carolyn J. Henri:</t>
        </r>
        <r>
          <rPr>
            <sz val="8"/>
            <rFont val="Tahoma"/>
            <family val="0"/>
          </rPr>
          <t xml:space="preserve">
remaining stems</t>
        </r>
      </text>
    </comment>
    <comment ref="M33" authorId="0">
      <text>
        <r>
          <rPr>
            <b/>
            <sz val="8"/>
            <rFont val="Tahoma"/>
            <family val="0"/>
          </rPr>
          <t>Carolyn J. Henri:</t>
        </r>
        <r>
          <rPr>
            <sz val="8"/>
            <rFont val="Tahoma"/>
            <family val="0"/>
          </rPr>
          <t xml:space="preserve">
60 year old trees</t>
        </r>
      </text>
    </comment>
    <comment ref="I34" authorId="0">
      <text>
        <r>
          <rPr>
            <b/>
            <sz val="8"/>
            <rFont val="Tahoma"/>
            <family val="0"/>
          </rPr>
          <t>Carolyn J. Henri:</t>
        </r>
        <r>
          <rPr>
            <sz val="8"/>
            <rFont val="Tahoma"/>
            <family val="0"/>
          </rPr>
          <t xml:space="preserve">
20 year old trees</t>
        </r>
      </text>
    </comment>
    <comment ref="M35" authorId="0">
      <text>
        <r>
          <rPr>
            <b/>
            <sz val="8"/>
            <rFont val="Tahoma"/>
            <family val="0"/>
          </rPr>
          <t>Carolyn J. Henri:</t>
        </r>
        <r>
          <rPr>
            <sz val="8"/>
            <rFont val="Tahoma"/>
            <family val="0"/>
          </rPr>
          <t xml:space="preserve">
40 year old trees</t>
        </r>
      </text>
    </comment>
    <comment ref="D36" authorId="0">
      <text>
        <r>
          <rPr>
            <b/>
            <sz val="8"/>
            <rFont val="Tahoma"/>
            <family val="0"/>
          </rPr>
          <t>Carolyn J. Henri:</t>
        </r>
        <r>
          <rPr>
            <sz val="8"/>
            <rFont val="Tahoma"/>
            <family val="0"/>
          </rPr>
          <t xml:space="preserve">
Thin to 125 stems remaining</t>
        </r>
      </text>
    </comment>
    <comment ref="H36" authorId="0">
      <text>
        <r>
          <rPr>
            <b/>
            <sz val="8"/>
            <rFont val="Tahoma"/>
            <family val="0"/>
          </rPr>
          <t>Carolyn J. Henri:</t>
        </r>
        <r>
          <rPr>
            <sz val="8"/>
            <rFont val="Tahoma"/>
            <family val="0"/>
          </rPr>
          <t xml:space="preserve">
Initial harvest of 35 yr old Doug Fir</t>
        </r>
      </text>
    </comment>
    <comment ref="Q36" authorId="0">
      <text>
        <r>
          <rPr>
            <b/>
            <sz val="8"/>
            <rFont val="Tahoma"/>
            <family val="0"/>
          </rPr>
          <t>Carolyn J. Henri:</t>
        </r>
        <r>
          <rPr>
            <sz val="8"/>
            <rFont val="Tahoma"/>
            <family val="0"/>
          </rPr>
          <t xml:space="preserve">
60 yr old
</t>
        </r>
      </text>
    </comment>
    <comment ref="H37" authorId="0">
      <text>
        <r>
          <rPr>
            <b/>
            <sz val="8"/>
            <rFont val="Tahoma"/>
            <family val="0"/>
          </rPr>
          <t>Carolyn J. Henri:</t>
        </r>
        <r>
          <rPr>
            <sz val="8"/>
            <rFont val="Tahoma"/>
            <family val="0"/>
          </rPr>
          <t xml:space="preserve">
Remaining stems
</t>
        </r>
      </text>
    </comment>
    <comment ref="M37" authorId="0">
      <text>
        <r>
          <rPr>
            <b/>
            <sz val="8"/>
            <rFont val="Tahoma"/>
            <family val="0"/>
          </rPr>
          <t>Carolyn J. Henri:</t>
        </r>
        <r>
          <rPr>
            <sz val="8"/>
            <rFont val="Tahoma"/>
            <family val="0"/>
          </rPr>
          <t xml:space="preserve">
20 year old trees</t>
        </r>
      </text>
    </comment>
    <comment ref="O37" authorId="0">
      <text>
        <r>
          <rPr>
            <b/>
            <sz val="8"/>
            <rFont val="Tahoma"/>
            <family val="0"/>
          </rPr>
          <t>Carolyn J. Henri:</t>
        </r>
        <r>
          <rPr>
            <sz val="8"/>
            <rFont val="Tahoma"/>
            <family val="0"/>
          </rPr>
          <t xml:space="preserve">
70 yr old trees</t>
        </r>
      </text>
    </comment>
    <comment ref="Q38" authorId="0">
      <text>
        <r>
          <rPr>
            <b/>
            <sz val="8"/>
            <rFont val="Tahoma"/>
            <family val="0"/>
          </rPr>
          <t>Carolyn J. Henri:</t>
        </r>
        <r>
          <rPr>
            <sz val="8"/>
            <rFont val="Tahoma"/>
            <family val="0"/>
          </rPr>
          <t xml:space="preserve">
40 yr old
</t>
        </r>
      </text>
    </comment>
    <comment ref="V38" authorId="0">
      <text>
        <r>
          <rPr>
            <b/>
            <sz val="8"/>
            <rFont val="Tahoma"/>
            <family val="0"/>
          </rPr>
          <t>Carolyn J. Henri:</t>
        </r>
        <r>
          <rPr>
            <sz val="8"/>
            <rFont val="Tahoma"/>
            <family val="0"/>
          </rPr>
          <t xml:space="preserve">
105 yr old trees</t>
        </r>
      </text>
    </comment>
    <comment ref="O39" authorId="0">
      <text>
        <r>
          <rPr>
            <b/>
            <sz val="8"/>
            <rFont val="Tahoma"/>
            <family val="0"/>
          </rPr>
          <t>Carolyn J. Henri:</t>
        </r>
        <r>
          <rPr>
            <sz val="8"/>
            <rFont val="Tahoma"/>
            <family val="0"/>
          </rPr>
          <t xml:space="preserve">
35 yr old trees</t>
        </r>
      </text>
    </comment>
    <comment ref="U39" authorId="0">
      <text>
        <r>
          <rPr>
            <b/>
            <sz val="8"/>
            <rFont val="Tahoma"/>
            <family val="0"/>
          </rPr>
          <t>Carolyn J. Henri:</t>
        </r>
        <r>
          <rPr>
            <sz val="8"/>
            <rFont val="Tahoma"/>
            <family val="0"/>
          </rPr>
          <t xml:space="preserve">
60 yr old</t>
        </r>
      </text>
    </comment>
    <comment ref="V39" authorId="0">
      <text>
        <r>
          <rPr>
            <b/>
            <sz val="8"/>
            <rFont val="Tahoma"/>
            <family val="0"/>
          </rPr>
          <t>Carolyn J. Henri:</t>
        </r>
        <r>
          <rPr>
            <sz val="8"/>
            <rFont val="Tahoma"/>
            <family val="0"/>
          </rPr>
          <t xml:space="preserve">
Don’t let trees grow past 105 yrs</t>
        </r>
      </text>
    </comment>
    <comment ref="Q40" authorId="0">
      <text>
        <r>
          <rPr>
            <b/>
            <sz val="8"/>
            <rFont val="Tahoma"/>
            <family val="0"/>
          </rPr>
          <t>Carolyn J. Henri:</t>
        </r>
        <r>
          <rPr>
            <sz val="8"/>
            <rFont val="Tahoma"/>
            <family val="0"/>
          </rPr>
          <t xml:space="preserve">
20 yr old trees
</t>
        </r>
      </text>
    </comment>
    <comment ref="V40" authorId="0">
      <text>
        <r>
          <rPr>
            <b/>
            <sz val="8"/>
            <rFont val="Tahoma"/>
            <family val="0"/>
          </rPr>
          <t>Carolyn J. Henri:</t>
        </r>
        <r>
          <rPr>
            <sz val="8"/>
            <rFont val="Tahoma"/>
            <family val="0"/>
          </rPr>
          <t xml:space="preserve">
70 yr old trees</t>
        </r>
      </text>
    </comment>
    <comment ref="U41" authorId="0">
      <text>
        <r>
          <rPr>
            <b/>
            <sz val="8"/>
            <rFont val="Tahoma"/>
            <family val="0"/>
          </rPr>
          <t>Carolyn J. Henri:</t>
        </r>
        <r>
          <rPr>
            <sz val="8"/>
            <rFont val="Tahoma"/>
            <family val="0"/>
          </rPr>
          <t xml:space="preserve">
40 yr old trees</t>
        </r>
      </text>
    </comment>
    <comment ref="V42" authorId="0">
      <text>
        <r>
          <rPr>
            <b/>
            <sz val="8"/>
            <rFont val="Tahoma"/>
            <family val="0"/>
          </rPr>
          <t>Carolyn J. Henri:</t>
        </r>
        <r>
          <rPr>
            <sz val="8"/>
            <rFont val="Tahoma"/>
            <family val="0"/>
          </rPr>
          <t xml:space="preserve">
35 yr old trees
</t>
        </r>
      </text>
    </comment>
    <comment ref="V43" authorId="0">
      <text>
        <r>
          <rPr>
            <b/>
            <sz val="8"/>
            <rFont val="Tahoma"/>
            <family val="0"/>
          </rPr>
          <t>Carolyn J. Henri:</t>
        </r>
        <r>
          <rPr>
            <sz val="8"/>
            <rFont val="Tahoma"/>
            <family val="0"/>
          </rPr>
          <t xml:space="preserve">
Remaining stems
</t>
        </r>
      </text>
    </comment>
    <comment ref="A18" authorId="0">
      <text>
        <r>
          <rPr>
            <sz val="8"/>
            <rFont val="Tahoma"/>
            <family val="0"/>
          </rPr>
          <t xml:space="preserve">
Replace the "X" with the appropriate harvest interval for this species.  See Red Alder and Doug Fir above as examples.</t>
        </r>
      </text>
    </comment>
    <comment ref="B18" authorId="0">
      <text>
        <r>
          <rPr>
            <sz val="8"/>
            <rFont val="Tahoma"/>
            <family val="0"/>
          </rPr>
          <t xml:space="preserve">
Fill in the appropriate volume per tree for this species at the age and spacings you have designated.</t>
        </r>
      </text>
    </comment>
    <comment ref="B26" authorId="0">
      <text>
        <r>
          <rPr>
            <b/>
            <sz val="8"/>
            <rFont val="Tahoma"/>
            <family val="0"/>
          </rPr>
          <t>Carolyn J. Henri:</t>
        </r>
        <r>
          <rPr>
            <sz val="8"/>
            <rFont val="Tahoma"/>
            <family val="0"/>
          </rPr>
          <t xml:space="preserve">
Enter weight of Species #3 per MBF in TONS.</t>
        </r>
      </text>
    </comment>
    <comment ref="A27" authorId="0">
      <text>
        <r>
          <rPr>
            <b/>
            <sz val="8"/>
            <rFont val="Tahoma"/>
            <family val="0"/>
          </rPr>
          <t>Carolyn J. Henri:</t>
        </r>
        <r>
          <rPr>
            <sz val="8"/>
            <rFont val="Tahoma"/>
            <family val="0"/>
          </rPr>
          <t xml:space="preserve">
This spreadsheet should only be used for species you intend to harvest for commercial use.  You may plant a number of non-commercial trees and shrubs in your mixed forest buffer.  In that case, you would not include them in this table.</t>
        </r>
      </text>
    </comment>
    <comment ref="B55" authorId="0">
      <text>
        <r>
          <rPr>
            <b/>
            <sz val="8"/>
            <rFont val="Tahoma"/>
            <family val="0"/>
          </rPr>
          <t>Carolyn J. Henri:</t>
        </r>
        <r>
          <rPr>
            <sz val="8"/>
            <rFont val="Tahoma"/>
            <family val="0"/>
          </rPr>
          <t xml:space="preserve">
The number in this cell and the ones below are transferred to  buffer # 6, Mixed Forest Buffer (Managed) in the buffer budgets worksheet. </t>
        </r>
      </text>
    </comment>
    <comment ref="B66" authorId="0">
      <text>
        <r>
          <rPr>
            <b/>
            <sz val="8"/>
            <rFont val="Tahoma"/>
            <family val="0"/>
          </rPr>
          <t>Carolyn J. Henri:</t>
        </r>
        <r>
          <rPr>
            <sz val="8"/>
            <rFont val="Tahoma"/>
            <family val="0"/>
          </rPr>
          <t xml:space="preserve">
The number in this cell and the one below are transferred to  buffer # 6, Mixed Forest Buffer (Managed) in the buffer budgets worksheet. </t>
        </r>
      </text>
    </comment>
    <comment ref="A2" authorId="0">
      <text>
        <r>
          <rPr>
            <sz val="8"/>
            <rFont val="Tahoma"/>
            <family val="0"/>
          </rPr>
          <t xml:space="preserve">
This spreadsheet is intended to help the landowner conceptualize the volumes of timber he or she could produce under a management regime of their choosing, and the associated revenues and costs associated with harvesting a portion of that volume.  Since the resulting volumes depend so heavily on species stocking, spacing, and years chosen for harvest, among many other variables, this is intended only as an outline to help the landowner begin to think about his or her commercial timber production options.   If the landowner is NOT familiar with different species' growth patterns and viable management techniques, he/she should seek the advice of a forester on filling out this table.  Numbers produced in the Present Value boxes of this spreadsheet are transferred to the Managed Forest Buffer Table in the Buffer Budgets worksheet.   </t>
        </r>
      </text>
    </comment>
  </commentList>
</comments>
</file>

<file path=xl/comments2.xml><?xml version="1.0" encoding="utf-8"?>
<comments xmlns="http://schemas.openxmlformats.org/spreadsheetml/2006/main">
  <authors>
    <author>Carolyn J. Henri</author>
  </authors>
  <commentList>
    <comment ref="G1" authorId="0">
      <text>
        <r>
          <rPr>
            <sz val="8"/>
            <rFont val="Tahoma"/>
            <family val="0"/>
          </rPr>
          <t xml:space="preserve">
In this column record salient points about the scenario so that  you remember what you modeled.  Save each scenario as a different file name in Excel.</t>
        </r>
      </text>
    </comment>
    <comment ref="A14" authorId="0">
      <text>
        <r>
          <rPr>
            <sz val="8"/>
            <rFont val="Tahoma"/>
            <family val="0"/>
          </rPr>
          <t xml:space="preserve">
Note this is the total cost of the buffer over all the years the buffer is in existence.  It is NOT an annual cost.</t>
        </r>
      </text>
    </comment>
    <comment ref="A15" authorId="0">
      <text>
        <r>
          <rPr>
            <sz val="8"/>
            <rFont val="Tahoma"/>
            <family val="0"/>
          </rPr>
          <t xml:space="preserve">
This is the number used to calculate the annual impact on the farm enterprise.  
See annualization table in Buffer Builder worksheet for more detail on annualization.</t>
        </r>
      </text>
    </comment>
    <comment ref="A16" authorId="0">
      <text>
        <r>
          <rPr>
            <sz val="8"/>
            <rFont val="Tahoma"/>
            <family val="0"/>
          </rPr>
          <t xml:space="preserve">
</t>
        </r>
        <r>
          <rPr>
            <sz val="10"/>
            <rFont val="Arial"/>
            <family val="2"/>
          </rPr>
          <t>Note:  This is the total net income/cost for the entire life of the buffer, it is NOT an annual cost.</t>
        </r>
        <r>
          <rPr>
            <sz val="8"/>
            <rFont val="Tahoma"/>
            <family val="0"/>
          </rPr>
          <t xml:space="preserve">
Calculation: </t>
        </r>
        <r>
          <rPr>
            <sz val="10"/>
            <rFont val="Arial"/>
            <family val="2"/>
          </rPr>
          <t>Total net income/cost of buffer ÷</t>
        </r>
        <r>
          <rPr>
            <sz val="10"/>
            <rFont val="Tahoma"/>
            <family val="0"/>
          </rPr>
          <t xml:space="preserve"> number of acres in the buffer</t>
        </r>
      </text>
    </comment>
  </commentList>
</comments>
</file>

<file path=xl/comments3.xml><?xml version="1.0" encoding="utf-8"?>
<comments xmlns="http://schemas.openxmlformats.org/spreadsheetml/2006/main">
  <authors>
    <author>Carolyn J. Henri</author>
  </authors>
  <commentList>
    <comment ref="C20" authorId="0">
      <text>
        <r>
          <rPr>
            <b/>
            <sz val="8"/>
            <rFont val="Tahoma"/>
            <family val="0"/>
          </rPr>
          <t>Carolyn J. Henri:</t>
        </r>
        <r>
          <rPr>
            <sz val="8"/>
            <rFont val="Tahoma"/>
            <family val="0"/>
          </rPr>
          <t xml:space="preserve">
This should be the number of acres you own that is in grass forage production.</t>
        </r>
      </text>
    </comment>
    <comment ref="C21" authorId="0">
      <text>
        <r>
          <rPr>
            <b/>
            <sz val="8"/>
            <rFont val="Tahoma"/>
            <family val="0"/>
          </rPr>
          <t>Carolyn J. Henri:</t>
        </r>
        <r>
          <rPr>
            <sz val="8"/>
            <rFont val="Tahoma"/>
            <family val="0"/>
          </rPr>
          <t xml:space="preserve">
This should be the number of acres you lease that is in grass forage production.  Enter 0 if no land is leased.</t>
        </r>
      </text>
    </comment>
    <comment ref="C19" authorId="0">
      <text>
        <r>
          <rPr>
            <b/>
            <sz val="8"/>
            <rFont val="Tahoma"/>
            <family val="0"/>
          </rPr>
          <t>Carolyn J. Henri:</t>
        </r>
        <r>
          <rPr>
            <sz val="8"/>
            <rFont val="Tahoma"/>
            <family val="0"/>
          </rPr>
          <t xml:space="preserve">
Include all acreage, whether or not it is in production.</t>
        </r>
      </text>
    </comment>
    <comment ref="C14" authorId="0">
      <text>
        <r>
          <rPr>
            <b/>
            <sz val="8"/>
            <rFont val="Tahoma"/>
            <family val="0"/>
          </rPr>
          <t>Carolyn J. Henri:</t>
        </r>
        <r>
          <rPr>
            <sz val="8"/>
            <rFont val="Tahoma"/>
            <family val="0"/>
          </rPr>
          <t xml:space="preserve">
Enter a percentage of crop value</t>
        </r>
      </text>
    </comment>
    <comment ref="C23" authorId="0">
      <text>
        <r>
          <rPr>
            <b/>
            <sz val="8"/>
            <rFont val="Tahoma"/>
            <family val="0"/>
          </rPr>
          <t>Carolyn J. Henri:</t>
        </r>
        <r>
          <rPr>
            <sz val="8"/>
            <rFont val="Tahoma"/>
            <family val="0"/>
          </rPr>
          <t xml:space="preserve">
Should be based on a recent agricultural loan rate.</t>
        </r>
      </text>
    </comment>
    <comment ref="C24" authorId="0">
      <text>
        <r>
          <rPr>
            <b/>
            <sz val="8"/>
            <rFont val="Tahoma"/>
            <family val="0"/>
          </rPr>
          <t>Carolyn J. Henri:</t>
        </r>
        <r>
          <rPr>
            <sz val="8"/>
            <rFont val="Tahoma"/>
            <family val="0"/>
          </rPr>
          <t xml:space="preserve">
Should be based on a recent agricultural loan rate.</t>
        </r>
      </text>
    </comment>
    <comment ref="C22" authorId="0">
      <text>
        <r>
          <rPr>
            <b/>
            <sz val="8"/>
            <rFont val="Tahoma"/>
            <family val="0"/>
          </rPr>
          <t>Carolyn J. Henri:</t>
        </r>
        <r>
          <rPr>
            <sz val="8"/>
            <rFont val="Tahoma"/>
            <family val="0"/>
          </rPr>
          <t xml:space="preserve">
Snohomish County Assessor's office 2003 levy rate.</t>
        </r>
      </text>
    </comment>
    <comment ref="C16" authorId="0">
      <text>
        <r>
          <rPr>
            <b/>
            <sz val="8"/>
            <rFont val="Tahoma"/>
            <family val="0"/>
          </rPr>
          <t>Carolyn J. Henri:</t>
        </r>
        <r>
          <rPr>
            <sz val="8"/>
            <rFont val="Tahoma"/>
            <family val="0"/>
          </rPr>
          <t xml:space="preserve">
A labor multiplier greater than one represents additional labor for setting up, calibrating and transporting the machine or vehicle to its work site.</t>
        </r>
      </text>
    </comment>
    <comment ref="A42" authorId="0">
      <text>
        <r>
          <rPr>
            <b/>
            <sz val="8"/>
            <rFont val="Tahoma"/>
            <family val="0"/>
          </rPr>
          <t>Carolyn J. Henri:</t>
        </r>
        <r>
          <rPr>
            <sz val="8"/>
            <rFont val="Tahoma"/>
            <family val="0"/>
          </rPr>
          <t xml:space="preserve">
Information for this table should be obtained from the Snohomish Conservation District (in the case of CREP) or from NRCS (in the case of EQIP, WHIP, etc).  
The default tables show impacts without cost-sharing.  If you do not plan to use cost sharing resources, then place zeros in the blue column of all but the first seven rows of this table.</t>
        </r>
      </text>
    </comment>
    <comment ref="C46" authorId="0">
      <text>
        <r>
          <rPr>
            <b/>
            <sz val="8"/>
            <rFont val="Tahoma"/>
            <family val="0"/>
          </rPr>
          <t>Carolyn J. Henri:</t>
        </r>
        <r>
          <rPr>
            <sz val="8"/>
            <rFont val="Tahoma"/>
            <family val="0"/>
          </rPr>
          <t xml:space="preserve">
Assumed this is awarded in the first year.</t>
        </r>
      </text>
    </comment>
    <comment ref="C29" authorId="0">
      <text>
        <r>
          <rPr>
            <b/>
            <sz val="8"/>
            <rFont val="Tahoma"/>
            <family val="0"/>
          </rPr>
          <t>Carolyn J. Henri:</t>
        </r>
        <r>
          <rPr>
            <sz val="8"/>
            <rFont val="Tahoma"/>
            <family val="0"/>
          </rPr>
          <t xml:space="preserve">
This value is used for discounting future costs and revenues back to present time.  </t>
        </r>
      </text>
    </comment>
    <comment ref="C4" authorId="0">
      <text>
        <r>
          <rPr>
            <sz val="8"/>
            <rFont val="Tahoma"/>
            <family val="0"/>
          </rPr>
          <t xml:space="preserve">
Note these are green tons.  To convert the tons per acre per year to dry tons, multiply the green tons by .4943.  You must also adjust the price per ton by dividing it by .4947.  The grass silage price is located on the Prices worksheet.</t>
        </r>
      </text>
    </comment>
    <comment ref="C30" authorId="0">
      <text>
        <r>
          <rPr>
            <b/>
            <sz val="8"/>
            <rFont val="Tahoma"/>
            <family val="0"/>
          </rPr>
          <t>Carolyn J. Henri:</t>
        </r>
        <r>
          <rPr>
            <sz val="8"/>
            <rFont val="Tahoma"/>
            <family val="0"/>
          </rPr>
          <t xml:space="preserve">
Dry tons  basis</t>
        </r>
      </text>
    </comment>
    <comment ref="C35" authorId="0">
      <text>
        <r>
          <rPr>
            <sz val="8"/>
            <rFont val="Tahoma"/>
            <family val="0"/>
          </rPr>
          <t xml:space="preserve">
PLEASE NOTE:  If you place a one in this cell, you must complete the last worksheet in this workbook, titled "Buffer Harvest Sched".  If you do not, the calculations for the harvested buffer will be incorrect.</t>
        </r>
      </text>
    </comment>
  </commentList>
</comments>
</file>

<file path=xl/comments4.xml><?xml version="1.0" encoding="utf-8"?>
<comments xmlns="http://schemas.openxmlformats.org/spreadsheetml/2006/main">
  <authors>
    <author>Carolyn J. Henri</author>
  </authors>
  <commentList>
    <comment ref="C37" authorId="0">
      <text>
        <r>
          <rPr>
            <b/>
            <sz val="8"/>
            <rFont val="Tahoma"/>
            <family val="0"/>
          </rPr>
          <t>Carolyn J. Henri:</t>
        </r>
        <r>
          <rPr>
            <sz val="8"/>
            <rFont val="Tahoma"/>
            <family val="0"/>
          </rPr>
          <t xml:space="preserve">
Enter the cost per acre PER mowing episode.  </t>
        </r>
      </text>
    </comment>
    <comment ref="A46" authorId="0">
      <text>
        <r>
          <rPr>
            <b/>
            <sz val="8"/>
            <rFont val="Tahoma"/>
            <family val="0"/>
          </rPr>
          <t>Carolyn J. Henri:</t>
        </r>
        <r>
          <rPr>
            <sz val="8"/>
            <rFont val="Tahoma"/>
            <family val="0"/>
          </rPr>
          <t xml:space="preserve">
Timber prices are estimates only and should be replaced with real quotes, if available.  The default prices are averages taken from Log Lines (April 2003), a timber price publication for Washington State.
The issue used for these calculations is reproduced at the bottom of this spread sheet.</t>
        </r>
      </text>
    </comment>
    <comment ref="C18" authorId="0">
      <text>
        <r>
          <rPr>
            <b/>
            <sz val="8"/>
            <rFont val="Tahoma"/>
            <family val="0"/>
          </rPr>
          <t>Carolyn J. Henri:</t>
        </r>
        <r>
          <rPr>
            <sz val="8"/>
            <rFont val="Tahoma"/>
            <family val="0"/>
          </rPr>
          <t xml:space="preserve">
This is also the rate at which owner labor is calculated for the purpose of estimating machinery labor costs.</t>
        </r>
      </text>
    </comment>
    <comment ref="C38" authorId="0">
      <text>
        <r>
          <rPr>
            <sz val="8"/>
            <rFont val="Tahoma"/>
            <family val="0"/>
          </rPr>
          <t xml:space="preserve">
Enter the weeding cost per acre PER year.  $350.00 per acre per year represents the mid- to lower range of many estimates.  Exact costs will vary from site to site depending on buffer access and content, and materials and equipment permitted in the riparian area.  For example, a backpack spray application of herbicide three times a year would be much more costly than this estimate, while machine mowing would be much cheaper.     
</t>
        </r>
      </text>
    </comment>
    <comment ref="C6" authorId="0">
      <text>
        <r>
          <rPr>
            <sz val="8"/>
            <rFont val="Tahoma"/>
            <family val="0"/>
          </rPr>
          <t xml:space="preserve">
Note this price is on a WET ton basis.  To convert to dry tones multiply the wet ton price by .4943.  You must also adjust the production per acre to a dry ton basis as well.  This number is located on the Farm and Buffer Assumptions worksheet. </t>
        </r>
      </text>
    </comment>
    <comment ref="C42" authorId="0">
      <text>
        <r>
          <rPr>
            <sz val="8"/>
            <rFont val="Tahoma"/>
            <family val="0"/>
          </rPr>
          <t xml:space="preserve">
Cost includes loading it on truck.  </t>
        </r>
      </text>
    </comment>
    <comment ref="C5" authorId="0">
      <text>
        <r>
          <rPr>
            <b/>
            <sz val="8"/>
            <rFont val="Tahoma"/>
            <family val="0"/>
          </rPr>
          <t>Carolyn J. Henri:</t>
        </r>
        <r>
          <rPr>
            <sz val="8"/>
            <rFont val="Tahoma"/>
            <family val="0"/>
          </rPr>
          <t xml:space="preserve">
Price at farm gate; does not include trucking.</t>
        </r>
      </text>
    </comment>
    <comment ref="C24" authorId="0">
      <text>
        <r>
          <rPr>
            <sz val="8"/>
            <rFont val="Tahoma"/>
            <family val="0"/>
          </rPr>
          <t xml:space="preserve">
Check with Farm Service Agency for rental rate on your soil type.  Rates differ widely and in general are less for grazing land than for prime crop land due to poorer soil quality.</t>
        </r>
      </text>
    </comment>
  </commentList>
</comments>
</file>

<file path=xl/comments5.xml><?xml version="1.0" encoding="utf-8"?>
<comments xmlns="http://schemas.openxmlformats.org/spreadsheetml/2006/main">
  <authors>
    <author>carolyn henri</author>
    <author>Carolyn J. Henri</author>
  </authors>
  <commentList>
    <comment ref="C3" authorId="0">
      <text>
        <r>
          <rPr>
            <b/>
            <sz val="8"/>
            <rFont val="Tahoma"/>
            <family val="0"/>
          </rPr>
          <t>Carolyn henri:
MV= (Purchase Price + Salvage Value)/2.  Referred to as the remaining on-farm value (RVF) in Smathers, 2001.</t>
        </r>
      </text>
    </comment>
    <comment ref="G3" authorId="0">
      <text>
        <r>
          <rPr>
            <b/>
            <sz val="8"/>
            <rFont val="Tahoma"/>
            <family val="0"/>
          </rPr>
          <t>Carolyn henri:
Annual insurance expense = Market Value x Insurance rate indicated in farm assumptions worksheet</t>
        </r>
      </text>
    </comment>
    <comment ref="D3"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E3" authorId="1">
      <text>
        <r>
          <rPr>
            <b/>
            <sz val="8"/>
            <rFont val="Tahoma"/>
            <family val="0"/>
          </rPr>
          <t>Carolyn J. Henri:</t>
        </r>
        <r>
          <rPr>
            <sz val="8"/>
            <rFont val="Tahoma"/>
            <family val="0"/>
          </rPr>
          <t xml:space="preserve">
From Smathers, 2001 "Cost of owning and operating farm machinery in the Pacific Northwest: 2000"</t>
        </r>
      </text>
    </comment>
    <comment ref="I3" authorId="0">
      <text>
        <r>
          <rPr>
            <b/>
            <sz val="8"/>
            <rFont val="Tahoma"/>
            <family val="0"/>
          </rPr>
          <t xml:space="preserve">Carolyn henri:
Taxes = Market Value x Property Tax Rate (from Assumptions worksheet)
</t>
        </r>
      </text>
    </comment>
    <comment ref="H3" authorId="0">
      <text>
        <r>
          <rPr>
            <b/>
            <sz val="8"/>
            <rFont val="Tahoma"/>
            <family val="0"/>
          </rPr>
          <t xml:space="preserve">Carolyn henri:
Cost associated with ownership and use of a machine shed.  Housing = Market Value x housing factor from Table 2 in Smathers, 2001.
</t>
        </r>
      </text>
    </comment>
    <comment ref="C68" authorId="1">
      <text>
        <r>
          <rPr>
            <b/>
            <sz val="8"/>
            <rFont val="Tahoma"/>
            <family val="0"/>
          </rPr>
          <t>Carolyn J. Henri:</t>
        </r>
        <r>
          <rPr>
            <sz val="8"/>
            <rFont val="Tahoma"/>
            <family val="0"/>
          </rPr>
          <t xml:space="preserve">
Includes parts and  labor for repairs and  maintenance.</t>
        </r>
      </text>
    </comment>
    <comment ref="C112" authorId="1">
      <text>
        <r>
          <rPr>
            <b/>
            <sz val="8"/>
            <rFont val="Tahoma"/>
            <family val="0"/>
          </rPr>
          <t>Carolyn J. Henri:</t>
        </r>
        <r>
          <rPr>
            <sz val="8"/>
            <rFont val="Tahoma"/>
            <family val="0"/>
          </rPr>
          <t xml:space="preserve">
Includes parts and  labor for repairs and  maintenance.</t>
        </r>
      </text>
    </comment>
    <comment ref="E48" authorId="1">
      <text>
        <r>
          <rPr>
            <b/>
            <sz val="8"/>
            <rFont val="Tahoma"/>
            <family val="0"/>
          </rPr>
          <t>Carolyn J. Henri:</t>
        </r>
        <r>
          <rPr>
            <sz val="8"/>
            <rFont val="Tahoma"/>
            <family val="0"/>
          </rPr>
          <t xml:space="preserve">
From Smathers, 2001 "Cost of owning and operating farm machinery in the Pacific Northwest: 2000"</t>
        </r>
      </text>
    </comment>
    <comment ref="C48" authorId="0">
      <text>
        <r>
          <rPr>
            <b/>
            <sz val="8"/>
            <rFont val="Tahoma"/>
            <family val="0"/>
          </rPr>
          <t>Carolyn henri:
MV= (Purchase Price + Salvage Value)/2.  Referred to as the remaining on-farm value (RVF) in Smathers, 2001.</t>
        </r>
      </text>
    </comment>
    <comment ref="D48"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G48" authorId="0">
      <text>
        <r>
          <rPr>
            <b/>
            <sz val="8"/>
            <rFont val="Tahoma"/>
            <family val="0"/>
          </rPr>
          <t>Carolyn henri:
Annual insurance expense = Market Value x Insurance rate indicated in farm assumptions worksheet</t>
        </r>
      </text>
    </comment>
    <comment ref="H48" authorId="0">
      <text>
        <r>
          <rPr>
            <b/>
            <sz val="8"/>
            <rFont val="Tahoma"/>
            <family val="0"/>
          </rPr>
          <t xml:space="preserve">Carolyn henri:
Cost associated with ownership and use of a machine shed.  Housing = Market Value x housing factor from Table 2 in Smathers, 2001.
</t>
        </r>
      </text>
    </comment>
    <comment ref="I48" authorId="0">
      <text>
        <r>
          <rPr>
            <b/>
            <sz val="8"/>
            <rFont val="Tahoma"/>
            <family val="0"/>
          </rPr>
          <t xml:space="preserve">Carolyn henri:
Taxes = Market Value x Property Tax Rate (from Assumptions worksheet)
</t>
        </r>
      </text>
    </comment>
    <comment ref="F1" authorId="1">
      <text>
        <r>
          <rPr>
            <b/>
            <sz val="8"/>
            <rFont val="Tahoma"/>
            <family val="0"/>
          </rPr>
          <t>Carolyn J. Henri:</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C56" authorId="0">
      <text>
        <r>
          <rPr>
            <b/>
            <sz val="8"/>
            <rFont val="Tahoma"/>
            <family val="0"/>
          </rPr>
          <t>Carolyn henri:
MV= (Purchase Price + Salvage Value)/2.  Referred to as the remaining on-farm value (RVF) in Smathers, 2001.</t>
        </r>
      </text>
    </comment>
    <comment ref="D56"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E56" authorId="1">
      <text>
        <r>
          <rPr>
            <b/>
            <sz val="8"/>
            <rFont val="Tahoma"/>
            <family val="0"/>
          </rPr>
          <t>Carolyn J. Henri:</t>
        </r>
        <r>
          <rPr>
            <sz val="8"/>
            <rFont val="Tahoma"/>
            <family val="0"/>
          </rPr>
          <t xml:space="preserve">
From Smathers, 2001 "Cost of owning and operating farm machinery in the Pacific Northwest: 2000"</t>
        </r>
      </text>
    </comment>
    <comment ref="G56" authorId="0">
      <text>
        <r>
          <rPr>
            <b/>
            <sz val="8"/>
            <rFont val="Tahoma"/>
            <family val="0"/>
          </rPr>
          <t>Carolyn henri:
Annual insurance expense = Market Value x Insurance rate indicated in farm assumptions worksheet</t>
        </r>
      </text>
    </comment>
    <comment ref="H56" authorId="0">
      <text>
        <r>
          <rPr>
            <b/>
            <sz val="8"/>
            <rFont val="Tahoma"/>
            <family val="0"/>
          </rPr>
          <t xml:space="preserve">Carolyn henri:
Cost associated with ownership and use of a machine shed.  Housing = Market Value x housing factor from Table 2 in Smathers, 2001.
</t>
        </r>
      </text>
    </comment>
    <comment ref="I56" authorId="0">
      <text>
        <r>
          <rPr>
            <b/>
            <sz val="8"/>
            <rFont val="Tahoma"/>
            <family val="0"/>
          </rPr>
          <t xml:space="preserve">Carolyn henri:
Taxes = Market Value x Property Tax Rate (from Assumptions worksheet)
</t>
        </r>
      </text>
    </comment>
    <comment ref="E112" authorId="1">
      <text>
        <r>
          <rPr>
            <b/>
            <sz val="8"/>
            <rFont val="Tahoma"/>
            <family val="0"/>
          </rPr>
          <t>Carolyn J. Henri:</t>
        </r>
        <r>
          <rPr>
            <sz val="8"/>
            <rFont val="Tahoma"/>
            <family val="0"/>
          </rPr>
          <t xml:space="preserve">
Calculated using diesel and gasoline prices from Prices worksheet.  An additional 15% is added for oil costs.</t>
        </r>
      </text>
    </comment>
    <comment ref="L3" authorId="0">
      <text>
        <r>
          <rPr>
            <b/>
            <sz val="8"/>
            <rFont val="Tahoma"/>
            <family val="0"/>
          </rPr>
          <t>Carolyn henri:
Annual insurance expense = Market Value x Insurance rate indicated in farm assumptions worksheet</t>
        </r>
      </text>
    </comment>
    <comment ref="M3" authorId="0">
      <text>
        <r>
          <rPr>
            <b/>
            <sz val="8"/>
            <rFont val="Tahoma"/>
            <family val="0"/>
          </rPr>
          <t xml:space="preserve">Carolyn henri:
Cost associated with ownership and use of a machine shed.  Housing = Market Value x housing factor from Table 2 in Smathers, 2001.
</t>
        </r>
      </text>
    </comment>
    <comment ref="N3" authorId="0">
      <text>
        <r>
          <rPr>
            <b/>
            <sz val="8"/>
            <rFont val="Tahoma"/>
            <family val="0"/>
          </rPr>
          <t xml:space="preserve">Carolyn henri:
Taxes = Market Value x Property Tax Rate (from Assumptions worksheet)
</t>
        </r>
      </text>
    </comment>
    <comment ref="K1" authorId="1">
      <text>
        <r>
          <rPr>
            <b/>
            <sz val="8"/>
            <rFont val="Tahoma"/>
            <family val="0"/>
          </rPr>
          <t>Carolyn J. Henri:</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L48" authorId="0">
      <text>
        <r>
          <rPr>
            <b/>
            <sz val="8"/>
            <rFont val="Tahoma"/>
            <family val="0"/>
          </rPr>
          <t>Carolyn henri:
Annual insurance expense = Market Value x Insurance rate indicated in farm assumptions worksheet</t>
        </r>
      </text>
    </comment>
    <comment ref="M48" authorId="0">
      <text>
        <r>
          <rPr>
            <b/>
            <sz val="8"/>
            <rFont val="Tahoma"/>
            <family val="0"/>
          </rPr>
          <t xml:space="preserve">Carolyn henri:
Cost associated with ownership and use of a machine shed.  Housing = Market Value x housing factor from Table 2 in Smathers, 2001.
</t>
        </r>
      </text>
    </comment>
    <comment ref="N48" authorId="0">
      <text>
        <r>
          <rPr>
            <b/>
            <sz val="8"/>
            <rFont val="Tahoma"/>
            <family val="0"/>
          </rPr>
          <t xml:space="preserve">Carolyn henri:
Taxes = Market Value x Property Tax Rate (from Assumptions worksheet)
</t>
        </r>
      </text>
    </comment>
    <comment ref="L56" authorId="0">
      <text>
        <r>
          <rPr>
            <b/>
            <sz val="8"/>
            <rFont val="Tahoma"/>
            <family val="0"/>
          </rPr>
          <t>Carolyn henri:
Annual insurance expense = Market Value x Insurance rate indicated in farm assumptions worksheet</t>
        </r>
      </text>
    </comment>
    <comment ref="M56" authorId="0">
      <text>
        <r>
          <rPr>
            <b/>
            <sz val="8"/>
            <rFont val="Tahoma"/>
            <family val="0"/>
          </rPr>
          <t xml:space="preserve">Carolyn henri:
Cost associated with ownership and use of a machine shed.  Housing = Market Value x housing factor from Table 2 in Smathers, 2001.
</t>
        </r>
      </text>
    </comment>
    <comment ref="N56" authorId="0">
      <text>
        <r>
          <rPr>
            <b/>
            <sz val="8"/>
            <rFont val="Tahoma"/>
            <family val="0"/>
          </rPr>
          <t xml:space="preserve">Carolyn henri:
Taxes = Market Value x Property Tax Rate (from Assumptions worksheet)
</t>
        </r>
      </text>
    </comment>
    <comment ref="N62" authorId="1">
      <text>
        <r>
          <rPr>
            <b/>
            <sz val="8"/>
            <rFont val="Tahoma"/>
            <family val="0"/>
          </rPr>
          <t>Carolyn J. Henri:</t>
        </r>
        <r>
          <rPr>
            <sz val="8"/>
            <rFont val="Tahoma"/>
            <family val="0"/>
          </rPr>
          <t xml:space="preserve">
 Land tax calculation: # of acres X assessed value per acre x county property tax rate.</t>
        </r>
      </text>
    </comment>
    <comment ref="D68" authorId="1">
      <text>
        <r>
          <rPr>
            <b/>
            <sz val="8"/>
            <rFont val="Tahoma"/>
            <family val="0"/>
          </rPr>
          <t>Carolyn J. Henri:</t>
        </r>
        <r>
          <rPr>
            <sz val="8"/>
            <rFont val="Tahoma"/>
            <family val="0"/>
          </rPr>
          <t xml:space="preserve">
Fuel consumption calculation comes from Smathers, 2001, pg. 5 (See full reference at bottom of spreadsheet).  Lubrication is estimated at 15% of fuel costs (also from Smathers, 2001).</t>
        </r>
      </text>
    </comment>
    <comment ref="F3" authorId="0">
      <text>
        <r>
          <rPr>
            <b/>
            <sz val="8"/>
            <rFont val="Tahoma"/>
            <family val="0"/>
          </rPr>
          <t xml:space="preserve">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 xml:space="preserve">-n
</t>
        </r>
        <r>
          <rPr>
            <b/>
            <sz val="10"/>
            <rFont val="Tahoma"/>
            <family val="2"/>
          </rPr>
          <t>n= useful life in years.</t>
        </r>
      </text>
    </comment>
    <comment ref="F48" authorId="0">
      <text>
        <r>
          <rPr>
            <b/>
            <sz val="8"/>
            <rFont val="Tahoma"/>
            <family val="0"/>
          </rPr>
          <t xml:space="preserve">Carolyn henri: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F56" authorId="0">
      <text>
        <r>
          <rPr>
            <b/>
            <sz val="8"/>
            <rFont val="Tahoma"/>
            <family val="0"/>
          </rPr>
          <t xml:space="preserve">Carolyn henri: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B62" authorId="1">
      <text>
        <r>
          <rPr>
            <sz val="8"/>
            <rFont val="Tahoma"/>
            <family val="0"/>
          </rPr>
          <t xml:space="preserve">
Enter the purchase price of your property</t>
        </r>
      </text>
    </comment>
    <comment ref="C62" authorId="1">
      <text>
        <r>
          <rPr>
            <sz val="8"/>
            <rFont val="Tahoma"/>
            <family val="0"/>
          </rPr>
          <t xml:space="preserve">
This is market value AS agricultural land, not as developable land</t>
        </r>
      </text>
    </comment>
    <comment ref="I62" authorId="1">
      <text>
        <r>
          <rPr>
            <b/>
            <sz val="8"/>
            <rFont val="Tahoma"/>
            <family val="0"/>
          </rPr>
          <t>Carolyn J. Henri:</t>
        </r>
        <r>
          <rPr>
            <sz val="8"/>
            <rFont val="Tahoma"/>
            <family val="0"/>
          </rPr>
          <t xml:space="preserve">
Number of acres x assessed value per acre x property tax rate</t>
        </r>
      </text>
    </comment>
    <comment ref="K62" authorId="1">
      <text>
        <r>
          <rPr>
            <sz val="8"/>
            <rFont val="Tahoma"/>
            <family val="0"/>
          </rPr>
          <t xml:space="preserve">
Market value of the land x interest rate x % allocated to this enterprise</t>
        </r>
      </text>
    </comment>
    <comment ref="B68" authorId="1">
      <text>
        <r>
          <rPr>
            <sz val="8"/>
            <rFont val="Tahoma"/>
            <family val="0"/>
          </rPr>
          <t xml:space="preserve">
Enter the appropriate numbers for your enterprise.  If the exact number of hours is not known, use an estimate.
</t>
        </r>
      </text>
    </comment>
    <comment ref="A1" authorId="1">
      <text>
        <r>
          <rPr>
            <sz val="8"/>
            <rFont val="Tahoma"/>
            <family val="0"/>
          </rPr>
          <t xml:space="preserve">
Includes machinery, equipment, vehicles and buildings.  This can be your complete machine inventory for the entire farm.  However, if you have more than just grass silage production on the farm, you should only allocate a portion of the machine expenses to the silage operation.  Machines that are not used at all in silage production should be given a fixed cost allocation of 0% (see column J).</t>
        </r>
      </text>
    </comment>
  </commentList>
</comments>
</file>

<file path=xl/comments6.xml><?xml version="1.0" encoding="utf-8"?>
<comments xmlns="http://schemas.openxmlformats.org/spreadsheetml/2006/main">
  <authors>
    <author>Carolyn J. Henri</author>
  </authors>
  <commentList>
    <comment ref="D6" authorId="0">
      <text>
        <r>
          <rPr>
            <b/>
            <sz val="8"/>
            <rFont val="Tahoma"/>
            <family val="0"/>
          </rPr>
          <t>Carolyn J. Henri:</t>
        </r>
        <r>
          <rPr>
            <sz val="8"/>
            <rFont val="Tahoma"/>
            <family val="0"/>
          </rPr>
          <t xml:space="preserve">
If not producing hay, put a zero in the Farm and Buffer Assumptions sheet under "grass hay yield per acre".  Do not enter anything on this worksheet.</t>
        </r>
      </text>
    </comment>
    <comment ref="A14" authorId="0">
      <text>
        <r>
          <rPr>
            <b/>
            <sz val="8"/>
            <rFont val="Tahoma"/>
            <family val="0"/>
          </rPr>
          <t>Carolyn J. Henri:</t>
        </r>
        <r>
          <rPr>
            <sz val="8"/>
            <rFont val="Tahoma"/>
            <family val="0"/>
          </rPr>
          <t xml:space="preserve">
This is materials costs only, not application.   Application costs are considered under machinery and  labor. If you do not use a particular listed fertilizer, then leave the quantity at 0. </t>
        </r>
      </text>
    </comment>
    <comment ref="A25" authorId="0">
      <text>
        <r>
          <rPr>
            <b/>
            <sz val="8"/>
            <rFont val="Tahoma"/>
            <family val="0"/>
          </rPr>
          <t>Carolyn J. Henri:</t>
        </r>
        <r>
          <rPr>
            <sz val="8"/>
            <rFont val="Tahoma"/>
            <family val="0"/>
          </rPr>
          <t xml:space="preserve">
This is materials costs only, not application.  Application costs are considered under machinery and  labor.
</t>
        </r>
      </text>
    </comment>
    <comment ref="A47" authorId="0">
      <text>
        <r>
          <rPr>
            <b/>
            <sz val="8"/>
            <rFont val="Tahoma"/>
            <family val="0"/>
          </rPr>
          <t>Carolyn J. Henri:</t>
        </r>
        <r>
          <rPr>
            <sz val="8"/>
            <rFont val="Tahoma"/>
            <family val="0"/>
          </rPr>
          <t xml:space="preserve">
Noncash fixed costs are ones which do not have to be paid with a financial expenditure.  The main items included here are depreciation and opportunity cost (interest) on invested capital.  These two together are sometimes referred to as "capital recovery".  
If your crop is a perennial and this is a budget for full production years, this is the place to add an annual cost for the establishment of the perennial crop.  You can calculate that cost like you would a loan payment, i.e., principal + interest to repay the "loan" of the establishment cost over the life of the stand.</t>
        </r>
      </text>
    </comment>
    <comment ref="D24" authorId="0">
      <text>
        <r>
          <rPr>
            <b/>
            <sz val="8"/>
            <rFont val="Tahoma"/>
            <family val="0"/>
          </rPr>
          <t>Carolyn J. Henri:</t>
        </r>
        <r>
          <rPr>
            <sz val="8"/>
            <rFont val="Tahoma"/>
            <family val="0"/>
          </rPr>
          <t xml:space="preserve">
This model assumes that the field is fertilized after each harvest. This is the number of acres farmed multiplied by the number of harvests.  In the default example 400 acres are harvested five times each year; 400 X 5 = 2,000.</t>
        </r>
      </text>
    </comment>
    <comment ref="E42" authorId="0">
      <text>
        <r>
          <rPr>
            <b/>
            <sz val="8"/>
            <rFont val="Tahoma"/>
            <family val="0"/>
          </rPr>
          <t>Carolyn J. Henri:</t>
        </r>
        <r>
          <rPr>
            <sz val="8"/>
            <rFont val="Tahoma"/>
            <family val="0"/>
          </rPr>
          <t xml:space="preserve">
Property tax on buildings and equipment is calculated on the Equipment and Investment worksheet.  It is calculated using the following equation: Taxes = Market Value x Property Tax Rate (from Assumptions worksheet).
 Land tax calculation: # of acres X </t>
        </r>
        <r>
          <rPr>
            <i/>
            <sz val="8"/>
            <rFont val="Tahoma"/>
            <family val="2"/>
          </rPr>
          <t>assessed</t>
        </r>
        <r>
          <rPr>
            <sz val="8"/>
            <rFont val="Tahoma"/>
            <family val="0"/>
          </rPr>
          <t xml:space="preserve"> value per acre x county property tax rate.</t>
        </r>
      </text>
    </comment>
    <comment ref="A29" authorId="0">
      <text>
        <r>
          <rPr>
            <b/>
            <sz val="8"/>
            <rFont val="Tahoma"/>
            <family val="0"/>
          </rPr>
          <t>Carolyn J. Henri:</t>
        </r>
        <r>
          <rPr>
            <sz val="8"/>
            <rFont val="Tahoma"/>
            <family val="0"/>
          </rPr>
          <t xml:space="preserve">
Machinery labor cost per acre = total equipment hours x % hours allocated to this enterprise x labor multiplier x wage rate / number of acres.</t>
        </r>
      </text>
    </comment>
    <comment ref="E38" authorId="0">
      <text>
        <r>
          <rPr>
            <b/>
            <sz val="8"/>
            <rFont val="Tahoma"/>
            <family val="0"/>
          </rPr>
          <t>Carolyn J. Henri:</t>
        </r>
        <r>
          <rPr>
            <sz val="8"/>
            <rFont val="Tahoma"/>
            <family val="0"/>
          </rPr>
          <t xml:space="preserve">
Interest on operating capital is based on one-half of total variable costs for six months at the interest rate indicated in the Farm and Buffer Assumptions worksheet.</t>
        </r>
      </text>
    </comment>
    <comment ref="A1" authorId="0">
      <text>
        <r>
          <rPr>
            <b/>
            <sz val="8"/>
            <rFont val="Tahoma"/>
            <family val="0"/>
          </rPr>
          <t>Carolyn J. Henri:</t>
        </r>
        <r>
          <rPr>
            <sz val="8"/>
            <rFont val="Tahoma"/>
            <family val="0"/>
          </rPr>
          <t xml:space="preserve">
Note that in the default example no costs to reestablish the stand have been included.  Space is provided in the fixed costs section to include this if desired.</t>
        </r>
      </text>
    </comment>
    <comment ref="F33" authorId="0">
      <text>
        <r>
          <rPr>
            <b/>
            <sz val="8"/>
            <rFont val="Tahoma"/>
            <family val="0"/>
          </rPr>
          <t>Carolyn J. Henri:</t>
        </r>
        <r>
          <rPr>
            <sz val="8"/>
            <rFont val="Tahoma"/>
            <family val="0"/>
          </rPr>
          <t xml:space="preserve">
Insert your per acre cost here.</t>
        </r>
      </text>
    </comment>
    <comment ref="F26" authorId="0">
      <text>
        <r>
          <rPr>
            <b/>
            <sz val="8"/>
            <rFont val="Tahoma"/>
            <family val="0"/>
          </rPr>
          <t>Carolyn J. Henri:</t>
        </r>
        <r>
          <rPr>
            <sz val="8"/>
            <rFont val="Tahoma"/>
            <family val="0"/>
          </rPr>
          <t xml:space="preserve">
Insert your per acre cost here.</t>
        </r>
      </text>
    </comment>
    <comment ref="F27" authorId="0">
      <text>
        <r>
          <rPr>
            <b/>
            <sz val="8"/>
            <rFont val="Tahoma"/>
            <family val="0"/>
          </rPr>
          <t>Carolyn J. Henri:</t>
        </r>
        <r>
          <rPr>
            <sz val="8"/>
            <rFont val="Tahoma"/>
            <family val="0"/>
          </rPr>
          <t xml:space="preserve">
Insert your per acre cost here.</t>
        </r>
      </text>
    </comment>
    <comment ref="B2" authorId="0">
      <text>
        <r>
          <rPr>
            <b/>
            <sz val="8"/>
            <rFont val="Tahoma"/>
            <family val="0"/>
          </rPr>
          <t>Carolyn J. Henri:</t>
        </r>
        <r>
          <rPr>
            <sz val="8"/>
            <rFont val="Tahoma"/>
            <family val="0"/>
          </rPr>
          <t xml:space="preserve">
Includes both owned and leased land</t>
        </r>
      </text>
    </comment>
    <comment ref="E56" authorId="0">
      <text>
        <r>
          <rPr>
            <b/>
            <sz val="8"/>
            <rFont val="Tahoma"/>
            <family val="0"/>
          </rPr>
          <t>Carolyn J. Henri:</t>
        </r>
        <r>
          <rPr>
            <sz val="8"/>
            <rFont val="Tahoma"/>
            <family val="0"/>
          </rPr>
          <t xml:space="preserve">
This is the amount of acres leased multiplied by the rental rate per acre.  These items can be found in the "Farm and Buffer Assumptions" and "Prices" worksheets respectively.</t>
        </r>
      </text>
    </comment>
    <comment ref="F56" authorId="0">
      <text>
        <r>
          <rPr>
            <b/>
            <sz val="8"/>
            <rFont val="Tahoma"/>
            <family val="0"/>
          </rPr>
          <t>Carolyn J. Henri:</t>
        </r>
        <r>
          <rPr>
            <sz val="8"/>
            <rFont val="Tahoma"/>
            <family val="0"/>
          </rPr>
          <t xml:space="preserve">
In the default example, 200 acres are leased at a rate of $115/acre for a total of $23,000 per year.  The per acre rental rate shown here is that 23,000 spread across the 400 acres in production (23,000 / 400 = 58).</t>
        </r>
      </text>
    </comment>
    <comment ref="E3" authorId="0">
      <text>
        <r>
          <rPr>
            <b/>
            <sz val="8"/>
            <rFont val="Tahoma"/>
            <family val="0"/>
          </rPr>
          <t>Carolyn J. Henri:</t>
        </r>
        <r>
          <rPr>
            <sz val="8"/>
            <rFont val="Tahoma"/>
            <family val="0"/>
          </rPr>
          <t xml:space="preserve">
This is the total income and cost for the whole enterprise on all acres in production (400 acres in the default example).</t>
        </r>
      </text>
    </comment>
    <comment ref="F3" authorId="0">
      <text>
        <r>
          <rPr>
            <b/>
            <sz val="8"/>
            <rFont val="Tahoma"/>
            <family val="0"/>
          </rPr>
          <t>Carolyn J. Henri:</t>
        </r>
        <r>
          <rPr>
            <sz val="8"/>
            <rFont val="Tahoma"/>
            <family val="0"/>
          </rPr>
          <t xml:space="preserve">
This is the income and costs per acre in production.  </t>
        </r>
      </text>
    </comment>
    <comment ref="A50" authorId="0">
      <text>
        <r>
          <rPr>
            <b/>
            <sz val="8"/>
            <rFont val="Tahoma"/>
            <family val="0"/>
          </rPr>
          <t>Carolyn J. Henri:</t>
        </r>
        <r>
          <rPr>
            <sz val="8"/>
            <rFont val="Tahoma"/>
            <family val="0"/>
          </rPr>
          <t xml:space="preserve">
If your crop is a perennial and this is a budget for full production years, this is where to add an annual cost for the establishment of the perennial crop.  You can calculate that cost like you would a loan payment, i.e., principal + interest to repay the "loan" of the establishment cost over the life of the stand.</t>
        </r>
      </text>
    </comment>
    <comment ref="E44" authorId="0">
      <text>
        <r>
          <rPr>
            <b/>
            <sz val="8"/>
            <rFont val="Tahoma"/>
            <family val="0"/>
          </rPr>
          <t>Carolyn J. Henri:</t>
        </r>
        <r>
          <rPr>
            <sz val="8"/>
            <rFont val="Tahoma"/>
            <family val="0"/>
          </rPr>
          <t xml:space="preserve">
This is in addition to property tax. </t>
        </r>
      </text>
    </comment>
    <comment ref="D31" authorId="0">
      <text>
        <r>
          <rPr>
            <b/>
            <sz val="8"/>
            <rFont val="Tahoma"/>
            <family val="0"/>
          </rPr>
          <t>Carolyn J. Henri:</t>
        </r>
        <r>
          <rPr>
            <sz val="8"/>
            <rFont val="Tahoma"/>
            <family val="0"/>
          </rPr>
          <t xml:space="preserve">
Enter the number of soil samples required each year for this enterprise.</t>
        </r>
      </text>
    </comment>
  </commentList>
</comments>
</file>

<file path=xl/comments7.xml><?xml version="1.0" encoding="utf-8"?>
<comments xmlns="http://schemas.openxmlformats.org/spreadsheetml/2006/main">
  <authors>
    <author>Carolyn J. Henri</author>
  </authors>
  <commentList>
    <comment ref="A2" authorId="0">
      <text>
        <r>
          <rPr>
            <sz val="8"/>
            <rFont val="Tahoma"/>
            <family val="0"/>
          </rPr>
          <t xml:space="preserve">
Include all the lineal stream distance to be buffered, whether it  has an existing buffer or no buffer at all.
If you do not know the stream types on your property, you can check with Snohomish Conservation District or view stream maps located at Snohomish County Planning and Development Services offices. 
Definitions of stream types (Washington Forest Practices Board 1992):
Type 1: All waters within their ordinary high-water mark as inventoried in “Shorelines of the State.”  
Type 2: All waters not classed as Type 1, with 20 feet or more between each bank’s ordinary high water mark.  Type 2 waters have high use and are important from a water quality standpoint for domestic use, public recreation, and fish and wildlife habitat.
Type 3: Waters that have 5 or more feet between each bank’s ordinary high water mark, and which have a moderate to slight use and are moderately important from a water quality standpoint for domestic use, public recreation, and fish and wildlife habitat.    
Type 4: Waters that have 2 or more feet between each bank’s ordinary high water mark.  Their significance lies in their influence on the water quality of larger water types downstream.  Type 4 streams may be perennial or intermittent.
Type 5:  All other waters, in natural watercourses, including streams with or without a well-defined channel, areas of perennial or intermittent seepage, and natural sinks.  Drainage ways having a short period of spring runoff are also considered to be Type 5.
Type 9:  Unknown 
</t>
        </r>
      </text>
    </comment>
    <comment ref="C16" authorId="0">
      <text>
        <r>
          <rPr>
            <b/>
            <sz val="8"/>
            <rFont val="Tahoma"/>
            <family val="0"/>
          </rPr>
          <t>Carolyn J. Henri:</t>
        </r>
        <r>
          <rPr>
            <sz val="8"/>
            <rFont val="Tahoma"/>
            <family val="0"/>
          </rPr>
          <t xml:space="preserve">
This value can be changed in the Prices worksheet.  Do not change it here.</t>
        </r>
      </text>
    </comment>
    <comment ref="C19" authorId="0">
      <text>
        <r>
          <rPr>
            <b/>
            <sz val="8"/>
            <rFont val="Tahoma"/>
            <family val="0"/>
          </rPr>
          <t>Carolyn J. Henri:</t>
        </r>
        <r>
          <rPr>
            <sz val="8"/>
            <rFont val="Tahoma"/>
            <family val="0"/>
          </rPr>
          <t xml:space="preserve">
Acreage is calculated using the following formula: Average Width in feet multiplied by the length in lineal feet, then divided by 43,560.
There are 43,560 square feet in an acre.</t>
        </r>
      </text>
    </comment>
    <comment ref="B43" authorId="0">
      <text>
        <r>
          <rPr>
            <b/>
            <sz val="8"/>
            <rFont val="Tahoma"/>
            <family val="0"/>
          </rPr>
          <t>Carolyn J. Henri:</t>
        </r>
        <r>
          <rPr>
            <sz val="8"/>
            <rFont val="Tahoma"/>
            <family val="0"/>
          </rPr>
          <t xml:space="preserve">
Numbers here are only examples.  You should enter the widths of your own buffers.</t>
        </r>
      </text>
    </comment>
    <comment ref="A73" authorId="0">
      <text>
        <r>
          <rPr>
            <b/>
            <sz val="8"/>
            <rFont val="Tahoma"/>
            <family val="0"/>
          </rPr>
          <t>Carolyn J. Henri:</t>
        </r>
        <r>
          <rPr>
            <sz val="8"/>
            <rFont val="Tahoma"/>
            <family val="0"/>
          </rPr>
          <t xml:space="preserve">
Type 9 watercourses are un-typed.  If you have watercourses on your property that are not recorded on county or state maps, include them in this stream type</t>
        </r>
      </text>
    </comment>
    <comment ref="C15" authorId="0">
      <text>
        <r>
          <rPr>
            <b/>
            <sz val="8"/>
            <rFont val="Tahoma"/>
            <family val="0"/>
          </rPr>
          <t>Carolyn J. Henri:</t>
        </r>
        <r>
          <rPr>
            <sz val="8"/>
            <rFont val="Tahoma"/>
            <family val="0"/>
          </rPr>
          <t xml:space="preserve">
Enter 0 if no fencing required.</t>
        </r>
      </text>
    </comment>
    <comment ref="B100" authorId="0">
      <text>
        <r>
          <rPr>
            <b/>
            <sz val="8"/>
            <rFont val="Tahoma"/>
            <family val="0"/>
          </rPr>
          <t>Carolyn J. Henri:</t>
        </r>
        <r>
          <rPr>
            <sz val="8"/>
            <rFont val="Tahoma"/>
            <family val="0"/>
          </rPr>
          <t xml:space="preserve">
This column contains the value per unit (usually, but not always, one year).  For comparison sake, these figures are converted to their present values in the next column.</t>
        </r>
      </text>
    </comment>
    <comment ref="C100" authorId="0">
      <text>
        <r>
          <rPr>
            <b/>
            <sz val="8"/>
            <rFont val="Tahoma"/>
            <family val="0"/>
          </rPr>
          <t>Carolyn J. Henri:</t>
        </r>
        <r>
          <rPr>
            <sz val="8"/>
            <rFont val="Tahoma"/>
            <family val="0"/>
          </rPr>
          <t xml:space="preserve">
PV = Present Value.
Not all buffer revenues and costs occur in the same year.  In order to compare revenues and costs, they must be expressed in their </t>
        </r>
        <r>
          <rPr>
            <i/>
            <sz val="8"/>
            <rFont val="Tahoma"/>
            <family val="2"/>
          </rPr>
          <t>present values</t>
        </r>
        <r>
          <rPr>
            <sz val="8"/>
            <rFont val="Tahoma"/>
            <family val="0"/>
          </rPr>
          <t xml:space="preserve"> (their values today).  These values are shown in this column.  
These are total revenues or costs of the buffer over it's entire lifetime.  PLEASE NOTE:  These are NOT annual costs.  This model assumes that buffers are permanent, once installed.
</t>
        </r>
      </text>
    </comment>
    <comment ref="C109" authorId="0">
      <text>
        <r>
          <rPr>
            <sz val="8"/>
            <rFont val="Tahoma"/>
            <family val="0"/>
          </rPr>
          <t xml:space="preserve">
This calculation assumes a regular </t>
        </r>
        <r>
          <rPr>
            <i/>
            <sz val="8"/>
            <rFont val="Tahoma"/>
            <family val="2"/>
          </rPr>
          <t>annual</t>
        </r>
        <r>
          <rPr>
            <sz val="8"/>
            <rFont val="Tahoma"/>
            <family val="0"/>
          </rPr>
          <t xml:space="preserve"> income.  If the income is the same amount each time, but is periodic over an indefinite period (every five years for the foreseeable future, for example) the following equation should be used:  C= R/{(1+i)</t>
        </r>
        <r>
          <rPr>
            <b/>
            <vertAlign val="superscript"/>
            <sz val="9"/>
            <rFont val="Tahoma"/>
            <family val="2"/>
          </rPr>
          <t>n</t>
        </r>
        <r>
          <rPr>
            <sz val="8"/>
            <rFont val="Tahoma"/>
            <family val="0"/>
          </rPr>
          <t xml:space="preserve">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C141" authorId="0">
      <text>
        <r>
          <rPr>
            <b/>
            <sz val="8"/>
            <rFont val="Tahoma"/>
            <family val="0"/>
          </rPr>
          <t>Carolyn J. Henri:</t>
        </r>
        <r>
          <rPr>
            <sz val="8"/>
            <rFont val="Tahoma"/>
            <family val="0"/>
          </rPr>
          <t xml:space="preserve">
This cell assumes the Other Cost is an annual reoccurring cost.  If the cost is periodic over an indefinite period (every five years for the foreseeable future, for example) the following equation must be used:  C= R/{(1+i)n - 1}.  "C" stands for "Capitalized value", 'R' is the amount of periodic cost,' i ' is the interest rate, and 'n' is the number of interest bearing periods between cost payments.
If the cost is limited to only a certain amount of years, the following Excel function must be used:  -PV(rate,nper,pmt,fv,type).  See the Excel Help file for how to use this function.  </t>
        </r>
      </text>
    </comment>
    <comment ref="B140" authorId="0">
      <text>
        <r>
          <rPr>
            <b/>
            <sz val="8"/>
            <rFont val="Tahoma"/>
            <family val="0"/>
          </rPr>
          <t>Carolyn J. Henri:</t>
        </r>
        <r>
          <rPr>
            <sz val="8"/>
            <rFont val="Tahoma"/>
            <family val="0"/>
          </rPr>
          <t xml:space="preserve">
Land that is spatially unviable means land that is now inaccessible because of the buffer, usually for physical reasons (i.e. areas that are now too small to plow with your equipment due to the presence of the buffer, or areas that have been made unproductive for some other operational reason caused by the buffer).  Note:  This is NOT land that is physically OCCUPIED by the buffer.  Enter the annual amount per acre lost multiplied by the number of acres affected.
This cell can also be used to calculate foregone income caused by </t>
        </r>
        <r>
          <rPr>
            <b/>
            <sz val="8"/>
            <rFont val="Tahoma"/>
            <family val="2"/>
          </rPr>
          <t>shading</t>
        </r>
        <r>
          <rPr>
            <sz val="8"/>
            <rFont val="Tahoma"/>
            <family val="0"/>
          </rPr>
          <t xml:space="preserve"> from the buffer.  </t>
        </r>
        <r>
          <rPr>
            <b/>
            <sz val="8"/>
            <rFont val="Tahoma"/>
            <family val="2"/>
          </rPr>
          <t>EXAMPLE</t>
        </r>
        <r>
          <rPr>
            <sz val="8"/>
            <rFont val="Tahoma"/>
            <family val="0"/>
          </rPr>
          <t xml:space="preserve">: you estimate that a 6 acre forested riparian buffer planted adjacent to your silage field will shade the adjacent 10 acres of field, causing a reduction in yield of 5% on those acres.  Your original yield on those acres was 13 tons/acre, and the market price of silage is $28.50 per ton.  
</t>
        </r>
        <r>
          <rPr>
            <b/>
            <sz val="8"/>
            <rFont val="Tahoma"/>
            <family val="2"/>
          </rPr>
          <t>Income loss calculation:</t>
        </r>
        <r>
          <rPr>
            <sz val="8"/>
            <rFont val="Tahoma"/>
            <family val="0"/>
          </rPr>
          <t xml:space="preserve">  
Original income per acre = 13 tons x 28.50 per ton = $370.50 per acre
New income per acre =   12.35 tons x 28.50 per ton = 351.98
Income loss per acre = 370.5 - 351.98 = $18.53 per acre
Total income loss on 10 acres = $18.53 x 10 acres = $185.30 per year.
$185.30 is the number entered in this cell.
</t>
        </r>
      </text>
    </comment>
    <comment ref="C110" authorId="0">
      <text>
        <r>
          <rPr>
            <b/>
            <sz val="8"/>
            <rFont val="Tahoma"/>
            <family val="0"/>
          </rPr>
          <t xml:space="preserve">
</t>
        </r>
        <r>
          <rPr>
            <sz val="8"/>
            <rFont val="Tahoma"/>
            <family val="2"/>
          </rPr>
          <t>This calculation assumes a regular annual income.  If the income is the same amount each time, but is periodic over an indefinite period (every five years for the foreseeable future, for example) the following equation should be used:  C= R/{(1+i)n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A146" authorId="0">
      <text>
        <r>
          <rPr>
            <b/>
            <sz val="8"/>
            <rFont val="Tahoma"/>
            <family val="0"/>
          </rPr>
          <t>Carolyn J. Henri:</t>
        </r>
        <r>
          <rPr>
            <sz val="8"/>
            <rFont val="Tahoma"/>
            <family val="0"/>
          </rPr>
          <t xml:space="preserve">
The annual equivalent is the average annual return  or loss associated with the buffers. When summed over a chosen period (in this case 10, 15, 25, or 50 years) the annual equivalent is equal to the net present value of the returns (losses) from the enterprise.  The average annual revenue and cost are used in the annual budget ("Budget w. buffer") to reflect annual buffer impacts.  
The user can designate the time period over which to average the annual costs in the "Farm and Buffer Assumptions sheet". The choice over how many years to annualize is largely an accounting question and will be unique to the tax situation of each operation.  An accountant should be consulted for questions on this issue.  The shorter the time period over which the costs or revenues are annualized the larger the annual amounts will be.</t>
        </r>
      </text>
    </comment>
    <comment ref="A123" authorId="0">
      <text>
        <r>
          <rPr>
            <sz val="8"/>
            <rFont val="Tahoma"/>
            <family val="0"/>
          </rPr>
          <t xml:space="preserve">
Assumes 7% of shrubs and 10% of trees will have to be replaced in year two.</t>
        </r>
      </text>
    </comment>
    <comment ref="B21" authorId="0">
      <text>
        <r>
          <rPr>
            <b/>
            <sz val="8"/>
            <rFont val="Tahoma"/>
            <family val="0"/>
          </rPr>
          <t>Carolyn J. Henri:</t>
        </r>
        <r>
          <rPr>
            <sz val="8"/>
            <rFont val="Tahoma"/>
            <family val="0"/>
          </rPr>
          <t xml:space="preserve">
Numbers here are only examples.  You should enter the widths of your own buffer.</t>
        </r>
      </text>
    </comment>
    <comment ref="D147" authorId="0">
      <text>
        <r>
          <rPr>
            <b/>
            <sz val="8"/>
            <rFont val="Tahoma"/>
            <family val="0"/>
          </rPr>
          <t>Carolyn J. Henri:</t>
        </r>
        <r>
          <rPr>
            <sz val="8"/>
            <rFont val="Tahoma"/>
            <family val="0"/>
          </rPr>
          <t xml:space="preserve">
This is the cost or revenue per acre farmed AFTER the installation of buffers.  In the default example, 400 acres are farmed originally.  53.5 acres are put into buffers, which leaves a remaining area farmed of 346.5 acres. </t>
        </r>
      </text>
    </comment>
    <comment ref="C147" authorId="0">
      <text>
        <r>
          <rPr>
            <b/>
            <sz val="8"/>
            <rFont val="Tahoma"/>
            <family val="0"/>
          </rPr>
          <t>Carolyn J. Henri:</t>
        </r>
        <r>
          <rPr>
            <sz val="8"/>
            <rFont val="Tahoma"/>
            <family val="0"/>
          </rPr>
          <t xml:space="preserve">
This is the total cost or revenue divided by the number of acres in the buffer.</t>
        </r>
      </text>
    </comment>
    <comment ref="B96" authorId="0">
      <text>
        <r>
          <rPr>
            <b/>
            <sz val="8"/>
            <rFont val="Tahoma"/>
            <family val="0"/>
          </rPr>
          <t>Carolyn J. Henri:</t>
        </r>
        <r>
          <rPr>
            <sz val="8"/>
            <rFont val="Tahoma"/>
            <family val="0"/>
          </rPr>
          <t xml:space="preserve">
Enter a rough estimate.  This number is used later in the "Budget with buffer" worksheet to adjust the rental payments you make on leased land.   If you do not lease land or if your land rental payments will not change as a result of buffers placed on leased land, then enter 0.</t>
        </r>
      </text>
    </comment>
    <comment ref="A85" authorId="0">
      <text>
        <r>
          <rPr>
            <b/>
            <sz val="8"/>
            <rFont val="Tahoma"/>
            <family val="0"/>
          </rPr>
          <t>Carolyn J. Henri:</t>
        </r>
        <r>
          <rPr>
            <sz val="8"/>
            <rFont val="Tahoma"/>
            <family val="0"/>
          </rPr>
          <t xml:space="preserve">
This table automatically summarizes the different buffer types and total buffer acreage for your property.</t>
        </r>
      </text>
    </comment>
    <comment ref="A98" authorId="0">
      <text>
        <r>
          <rPr>
            <b/>
            <sz val="8"/>
            <rFont val="Tahoma"/>
            <family val="0"/>
          </rPr>
          <t>Carolyn J. Henri:</t>
        </r>
        <r>
          <rPr>
            <sz val="8"/>
            <rFont val="Tahoma"/>
            <family val="0"/>
          </rPr>
          <t xml:space="preserve">
This table summarizes all the revenues and costs associated with the buffers you’ve just designed in the Multi-Zone Buffer Builder Table (above).  If an item is not relevant a “0” will appear in the $ column.  Note that these are TOTAL incomes and costs for the buffer area, NOT per acre costs.
How the Buffer Budget Summary table works:  This table is linked to the Buffer Acreage Summary table above.  It is also linked to a worksheet called “Buffer Budgets.” If you are working in the Excel workbook, you will see a tab called “Buffer Budgets” at the bottom of the screen behind the “Budget with Buffer” tab.  The “Buffer Budgets” worksheet has seven separate budgets for the seven different buffer types (setback, grass filterstrip, grass green chop/silage, hay, shrub, mixed forest (no-touch) and mixed forest (managed)).  The Buffer Budget Summary Table takes the per acre revenues and costs of the individual buffer types in the “Buffer Budgets” worksheet and multiplies these by the number of acres for each buffer type in the Buffer Acreage Summary Table.</t>
        </r>
      </text>
    </comment>
    <comment ref="B108" authorId="0">
      <text>
        <r>
          <rPr>
            <b/>
            <sz val="8"/>
            <rFont val="Tahoma"/>
            <family val="0"/>
          </rPr>
          <t>Carolyn J. Henri:</t>
        </r>
        <r>
          <rPr>
            <sz val="8"/>
            <rFont val="Tahoma"/>
            <family val="0"/>
          </rPr>
          <t xml:space="preserve">
Timber income is not an annual income.  It is  periodic and in irregular amounts, according to the harvest schedule established in Buffer Harvest Sched worksheet.  That is why it is not included here.</t>
        </r>
      </text>
    </comment>
    <comment ref="B137" authorId="0">
      <text>
        <r>
          <rPr>
            <sz val="8"/>
            <rFont val="Tahoma"/>
            <family val="0"/>
          </rPr>
          <t xml:space="preserve">
Note:  Does not include periodic harvest of timber.  However, the PV column DOES include this cost. </t>
        </r>
      </text>
    </comment>
    <comment ref="B139" authorId="0">
      <text>
        <r>
          <rPr>
            <sz val="8"/>
            <rFont val="Tahoma"/>
            <family val="0"/>
          </rPr>
          <t xml:space="preserve">This cell auto-calculates based on whether your budget without buffer is profitable on a per acre basis.
</t>
        </r>
      </text>
    </comment>
    <comment ref="B109" authorId="0">
      <text>
        <r>
          <rPr>
            <sz val="8"/>
            <rFont val="Tahoma"/>
            <family val="0"/>
          </rPr>
          <t xml:space="preserve">
Include the income per acre multiplied by the number of acres in the buffer (cell B98).</t>
        </r>
      </text>
    </comment>
    <comment ref="B110" authorId="0">
      <text>
        <r>
          <rPr>
            <sz val="8"/>
            <rFont val="Tahoma"/>
            <family val="0"/>
          </rPr>
          <t xml:space="preserve">
Include the income per acre multiplied by the number of acres in the buffer (cell B98).</t>
        </r>
      </text>
    </comment>
    <comment ref="B19" authorId="0">
      <text>
        <r>
          <rPr>
            <b/>
            <sz val="8"/>
            <rFont val="Tahoma"/>
            <family val="0"/>
          </rPr>
          <t>Carolyn J. Henri:</t>
        </r>
        <r>
          <rPr>
            <sz val="8"/>
            <rFont val="Tahoma"/>
            <family val="0"/>
          </rPr>
          <t xml:space="preserve">
In the discussion below "width" refers to the buffer width on one side of the stream.  If you do not currently have a buffer, then include the final width of the planned buffer.  If you already have a buffer and are planning to expand its width, include only the ADDITIONAL width in this column.  If you have several segments of a type x stream with different existing buffer widths, use the </t>
        </r>
        <r>
          <rPr>
            <i/>
            <sz val="8"/>
            <rFont val="Tahoma"/>
            <family val="2"/>
          </rPr>
          <t>weighted average</t>
        </r>
        <r>
          <rPr>
            <sz val="8"/>
            <rFont val="Tahoma"/>
            <family val="0"/>
          </rPr>
          <t xml:space="preserve"> buffer width.  If your current buffer will be removed and replanted as part of your buffer project, it should be treated as if there is no buffer at all.
</t>
        </r>
        <r>
          <rPr>
            <u val="single"/>
            <sz val="8"/>
            <rFont val="Tahoma"/>
            <family val="2"/>
          </rPr>
          <t>How to calculate the weighted average existing buffer width</t>
        </r>
        <r>
          <rPr>
            <sz val="8"/>
            <rFont val="Tahoma"/>
            <family val="0"/>
          </rPr>
          <t>:  Sum all the lineal feet of the stream type on the property.  Separate the total into stream segments by buffer width (i.e. 1200 lineal ft. with 150' buffer, 200 lineal ft. with 30' buffer, and 500 lineal ft. with 70' buffer).  Multiply the buffer width of the segment by the segment length divided by the total type x length.  Repeat this for each segment, then add all the segments.  This is your average existing buffer width.
EXAMPLE 1: Karen has 12,000 lineal feet of type 1 stream on her property.  6,000 of these lineal feet already have a 150' forested buffer, 4,000 lineal feet have a 45' buffer, and 2,000 lineal feet have no buffer.  Her average existing buffer width is: [150*6,000/12,000] + [45*4,000/12,000] + [0*2,000/12,000] = 90 feet.  If the selected treatment for a Type 1 stream is a 300' forested buffer, Karen would enter '210'  (300-90) in the appropriate blue box.  
EXAMPLE 2:  Bill currently has no buffer along a type 1 stream.  He is planning to install a 125' setback.  He should enter 125' in the appropriate blue box.
EXAMPLE 3:  James currently has a 50' tree buffer along a type 1 stream.  He will increase the width of this buffer by 75' for a total buffer width of 125'.  James will not do any additional work in the existing buffer.  He should enter 75'  in the appropriate blue box.   
EXAMPLE 4:  Hank currently has a 15' blackberry buffer along a type 1 stream.  He will increase the width of the buffer by 60' for a total buffer width of 75'.  Hank will remove the blackberries and plant the whole buffer in trees.  He should enter 75' in the appropriate box.</t>
        </r>
      </text>
    </comment>
  </commentList>
</comments>
</file>

<file path=xl/comments8.xml><?xml version="1.0" encoding="utf-8"?>
<comments xmlns="http://schemas.openxmlformats.org/spreadsheetml/2006/main">
  <authors>
    <author>Carolyn J. Henri</author>
  </authors>
  <commentList>
    <comment ref="D8" authorId="0">
      <text>
        <r>
          <rPr>
            <sz val="8"/>
            <rFont val="Tahoma"/>
            <family val="0"/>
          </rPr>
          <t xml:space="preserve">
If not producing hay, put a zero in the Farm and Buffer Assumptions sheet under "grass hay yield per acre".  Do not enter anything in this cell.</t>
        </r>
      </text>
    </comment>
    <comment ref="A17" authorId="0">
      <text>
        <r>
          <rPr>
            <sz val="8"/>
            <rFont val="Tahoma"/>
            <family val="0"/>
          </rPr>
          <t xml:space="preserve">
This is materials costs only.  If you do not use a particular listed fertilizer, then leave the quantity at 0. Application costs are considered under machinery and  labor.</t>
        </r>
      </text>
    </comment>
    <comment ref="A28" authorId="0">
      <text>
        <r>
          <rPr>
            <sz val="8"/>
            <rFont val="Tahoma"/>
            <family val="0"/>
          </rPr>
          <t xml:space="preserve">
This is materials costs only. Application costs are considered under machinery and  labor.</t>
        </r>
      </text>
    </comment>
    <comment ref="A51" authorId="0">
      <text>
        <r>
          <rPr>
            <sz val="8"/>
            <rFont val="Tahoma"/>
            <family val="0"/>
          </rPr>
          <t xml:space="preserve">
Noncash fixed costs are ones which do not have to be paid with a financial expenditure.  The main items included here are depreciation and opportunity cost (interest) on invested capital.  These two together are sometimes referred to as "capital recovery".  
If your crop is a perennial and this is a budget for full production years, here is where to include an annual cost for the establishment of the perennial crop.  You can calculate that cost like you would a loan payment, i.e., principal + interest to repay the "loan" of the establishment cost over the life of the stand.</t>
        </r>
      </text>
    </comment>
    <comment ref="D27" authorId="0">
      <text>
        <r>
          <rPr>
            <sz val="8"/>
            <rFont val="Tahoma"/>
            <family val="0"/>
          </rPr>
          <t xml:space="preserve">
This model assumes that the field is fertilized after each harvest.
This is the number of acres farmed multiplied by the number of harvests.  In the default example 346 acres are harvested five times each year; 346 X 5 = 1,732.</t>
        </r>
      </text>
    </comment>
    <comment ref="E46" authorId="0">
      <text>
        <r>
          <rPr>
            <sz val="8"/>
            <rFont val="Tahoma"/>
            <family val="0"/>
          </rPr>
          <t xml:space="preserve">
Property tax on buildings and equipment is calculated on the Equipment and Investment worksheet.  It is calculated using the following equation: Taxes = Market Value x Property Tax Rate (from Assumptions worksheet).
 Land tax calculation: # of acres X </t>
        </r>
        <r>
          <rPr>
            <i/>
            <sz val="8"/>
            <rFont val="Tahoma"/>
            <family val="2"/>
          </rPr>
          <t>assessed</t>
        </r>
        <r>
          <rPr>
            <sz val="8"/>
            <rFont val="Tahoma"/>
            <family val="0"/>
          </rPr>
          <t xml:space="preserve"> value per acre x county property tax rate.</t>
        </r>
      </text>
    </comment>
    <comment ref="A32" authorId="0">
      <text>
        <r>
          <rPr>
            <sz val="8"/>
            <rFont val="Tahoma"/>
            <family val="0"/>
          </rPr>
          <t xml:space="preserve">
Machinery labor cost per acre = total equipment hours x % hours allocated to this enterprise x labor multiplier x wage rate / number of acres.</t>
        </r>
      </text>
    </comment>
    <comment ref="E41" authorId="0">
      <text>
        <r>
          <rPr>
            <sz val="8"/>
            <rFont val="Tahoma"/>
            <family val="0"/>
          </rPr>
          <t xml:space="preserve">
Interest on operating capital is based on one-half of total variable costs for six months at the interest rate indicated in the Farm and Buffer Assumptions worksheet.</t>
        </r>
      </text>
    </comment>
    <comment ref="A1" authorId="0">
      <text>
        <r>
          <rPr>
            <sz val="8"/>
            <rFont val="Tahoma"/>
            <family val="0"/>
          </rPr>
          <t xml:space="preserve">
Note that in the default example no costs to reestablish the stand have been included.  Space is provided in the fixed costs section to include this if desired.</t>
        </r>
      </text>
    </comment>
    <comment ref="D34" authorId="0">
      <text>
        <r>
          <rPr>
            <sz val="8"/>
            <rFont val="Tahoma"/>
            <family val="0"/>
          </rPr>
          <t xml:space="preserve">
Enter the number of soil samples required each year for this enterprise</t>
        </r>
      </text>
    </comment>
    <comment ref="E5" authorId="0">
      <text>
        <r>
          <rPr>
            <sz val="8"/>
            <rFont val="Tahoma"/>
            <family val="0"/>
          </rPr>
          <t xml:space="preserve">
This is the total income and cost for the whole enterprise on all acres in production.</t>
        </r>
      </text>
    </comment>
    <comment ref="F5" authorId="0">
      <text>
        <r>
          <rPr>
            <sz val="8"/>
            <rFont val="Tahoma"/>
            <family val="0"/>
          </rPr>
          <t xml:space="preserve">
This column is the income and costs per acre in production.  </t>
        </r>
      </text>
    </comment>
    <comment ref="F12" authorId="0">
      <text>
        <r>
          <rPr>
            <sz val="8"/>
            <rFont val="Tahoma"/>
            <family val="0"/>
          </rPr>
          <t xml:space="preserve">
In order to be compared with the other per acre income in the annual budget, the income from the buffer has to be expressed in the same units as other income.  This is in $ </t>
        </r>
        <r>
          <rPr>
            <i/>
            <sz val="8"/>
            <rFont val="Tahoma"/>
            <family val="2"/>
          </rPr>
          <t>per acre in production</t>
        </r>
        <r>
          <rPr>
            <sz val="8"/>
            <rFont val="Tahoma"/>
            <family val="0"/>
          </rPr>
          <t>, not per acre of buffer.</t>
        </r>
      </text>
    </comment>
    <comment ref="F42" authorId="0">
      <text>
        <r>
          <rPr>
            <sz val="8"/>
            <rFont val="Tahoma"/>
            <family val="0"/>
          </rPr>
          <t xml:space="preserve">
In order to be compared with the other per acre costs in the annual budget, the costs of the buffer have to be expressed in the same units as other costs.  This figure is in $ per acre </t>
        </r>
        <r>
          <rPr>
            <i/>
            <sz val="8"/>
            <rFont val="Tahoma"/>
            <family val="2"/>
          </rPr>
          <t>in production</t>
        </r>
        <r>
          <rPr>
            <sz val="8"/>
            <rFont val="Tahoma"/>
            <family val="0"/>
          </rPr>
          <t>, not per acre of buffer.</t>
        </r>
      </text>
    </comment>
    <comment ref="E48" authorId="0">
      <text>
        <r>
          <rPr>
            <sz val="8"/>
            <rFont val="Tahoma"/>
            <family val="0"/>
          </rPr>
          <t xml:space="preserve">
This is in addition to property tax. </t>
        </r>
      </text>
    </comment>
    <comment ref="A54" authorId="0">
      <text>
        <r>
          <rPr>
            <sz val="8"/>
            <rFont val="Tahoma"/>
            <family val="0"/>
          </rPr>
          <t xml:space="preserve">
If your crop is a perennial and this is a budget for full production years, this is where to add an annual cost for the establishment of the perennial crop.  You can calculate that cost like you would a loan payment, i.e., principal + interest to repay the "loan" of the establishment cost over the life of the stand.</t>
        </r>
      </text>
    </comment>
    <comment ref="F61" authorId="0">
      <text>
        <r>
          <rPr>
            <sz val="8"/>
            <rFont val="Tahoma"/>
            <family val="0"/>
          </rPr>
          <t xml:space="preserve">
In the default example, 180 acres are leased at a rate of $115/acre for a total of $20,700 per year.  The per acre rental rate shown here is that $20,700 spread across the 346 acres in production (20,700 / 346 = 60).</t>
        </r>
      </text>
    </comment>
    <comment ref="E61" authorId="0">
      <text>
        <r>
          <rPr>
            <sz val="8"/>
            <rFont val="Tahoma"/>
            <family val="0"/>
          </rPr>
          <t xml:space="preserve">
This is the amount of acres leased  less the buffer areas on leased land (In the default example, this is 200-20 = 180 acres) multiplied by the rental rate per acre. 180 acres x $115 per acre = $20,700  in the default example.  </t>
        </r>
      </text>
    </comment>
    <comment ref="A3" authorId="0">
      <text>
        <r>
          <rPr>
            <sz val="8"/>
            <rFont val="Tahoma"/>
            <family val="0"/>
          </rPr>
          <t xml:space="preserve">
This includes only the "no-touch' buffers.  Buffers that are managed for a crop, timber, or other product are not included here.</t>
        </r>
      </text>
    </comment>
  </commentList>
</comments>
</file>

<file path=xl/comments9.xml><?xml version="1.0" encoding="utf-8"?>
<comments xmlns="http://schemas.openxmlformats.org/spreadsheetml/2006/main">
  <authors>
    <author>Carolyn J. Henri</author>
  </authors>
  <commentList>
    <comment ref="M67" authorId="0">
      <text>
        <r>
          <rPr>
            <b/>
            <sz val="8"/>
            <rFont val="Tahoma"/>
            <family val="0"/>
          </rPr>
          <t>Carolyn J. Henri:</t>
        </r>
        <r>
          <rPr>
            <sz val="8"/>
            <rFont val="Tahoma"/>
            <family val="0"/>
          </rPr>
          <t xml:space="preserve">
Less than worksheet because it's projected over 100 years.  Worksheet is projection over indefinite period.</t>
        </r>
      </text>
    </comment>
    <comment ref="G86"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A1" authorId="0">
      <text>
        <r>
          <rPr>
            <b/>
            <sz val="8"/>
            <rFont val="Tahoma"/>
            <family val="0"/>
          </rPr>
          <t>Carolyn J. Henri:</t>
        </r>
        <r>
          <rPr>
            <sz val="8"/>
            <rFont val="Tahoma"/>
            <family val="0"/>
          </rPr>
          <t xml:space="preserve">
Please note:  The Buffer Budgets worksheet is not meant to be manipulated by the user.  These budgets are based on the best available average cost and revenue information for the seven different buffer types. You should not modify this worksheet without a very compelling reason!</t>
        </r>
      </text>
    </comment>
    <comment ref="G196" authorId="0">
      <text>
        <r>
          <rPr>
            <sz val="8"/>
            <rFont val="Tahoma"/>
            <family val="0"/>
          </rPr>
          <t xml:space="preserve">
This number is the present value of tilling as part of re-establishment of the stand every X  years.  (X is established in the Farm and Buffer Assumptions worksheet.)</t>
        </r>
      </text>
    </comment>
    <comment ref="G197" authorId="0">
      <text>
        <r>
          <rPr>
            <sz val="8"/>
            <rFont val="Tahoma"/>
            <family val="0"/>
          </rPr>
          <t xml:space="preserve">
This number is the present value of seeding as part of re-establishment of the stand every X  years.  (X is established in the Farm and Buffer Assumptions worksheet.)</t>
        </r>
      </text>
    </comment>
    <comment ref="A199" authorId="0">
      <text>
        <r>
          <rPr>
            <sz val="8"/>
            <rFont val="Tahoma"/>
            <family val="0"/>
          </rPr>
          <t xml:space="preserve">
This is the fixed costs per acre from the SILAGE budget w.o. buffer worksheet.  Fixed costs are included in the hay and silage buffer budgets because it is assumed that the farmer would spread his/her fixed costs over productive acreage in the buffer in addition to his normal production acreage.
</t>
        </r>
        <r>
          <rPr>
            <b/>
            <sz val="8"/>
            <rFont val="Tahoma"/>
            <family val="2"/>
          </rPr>
          <t>Note</t>
        </r>
        <r>
          <rPr>
            <sz val="8"/>
            <rFont val="Tahoma"/>
            <family val="0"/>
          </rPr>
          <t xml:space="preserve"> that an operator management fee and land rent cost associated with silage production are not attributed to the buffer area.  That is why the silage buffer can make $ while the full silage enterprise cannot.
</t>
        </r>
      </text>
    </comment>
    <comment ref="C147" authorId="0">
      <text>
        <r>
          <rPr>
            <sz val="8"/>
            <rFont val="Tahoma"/>
            <family val="0"/>
          </rPr>
          <t xml:space="preserve">
MBF = thousand board feet</t>
        </r>
      </text>
    </comment>
    <comment ref="G5" authorId="0">
      <text>
        <r>
          <rPr>
            <b/>
            <sz val="10"/>
            <rFont val="Trebuchet MS"/>
            <family val="2"/>
          </rPr>
          <t>Carolyn J. Henri:</t>
        </r>
        <r>
          <rPr>
            <sz val="10"/>
            <rFont val="Trebuchet MS"/>
            <family val="2"/>
          </rPr>
          <t xml:space="preserve">
Present value of equal annual payments.  
Equation : P= A X  (1+i)</t>
        </r>
        <r>
          <rPr>
            <vertAlign val="superscript"/>
            <sz val="12"/>
            <rFont val="Trebuchet MS"/>
            <family val="2"/>
          </rPr>
          <t>n</t>
        </r>
        <r>
          <rPr>
            <sz val="10"/>
            <rFont val="Trebuchet MS"/>
            <family val="2"/>
          </rPr>
          <t>-1
                              ----------
                               i(1+i)</t>
        </r>
        <r>
          <rPr>
            <vertAlign val="superscript"/>
            <sz val="12"/>
            <rFont val="Trebuchet MS"/>
            <family val="2"/>
          </rPr>
          <t>n</t>
        </r>
      </text>
    </comment>
    <comment ref="G15" authorId="0">
      <text>
        <r>
          <rPr>
            <b/>
            <sz val="8"/>
            <rFont val="Tahoma"/>
            <family val="0"/>
          </rPr>
          <t>Carolyn J. Henri:</t>
        </r>
        <r>
          <rPr>
            <sz val="8"/>
            <rFont val="Tahoma"/>
            <family val="0"/>
          </rPr>
          <t xml:space="preserve">
Present value of a perpetual series of annual payments</t>
        </r>
      </text>
    </comment>
    <comment ref="G148" authorId="0">
      <text>
        <r>
          <rPr>
            <b/>
            <sz val="8"/>
            <rFont val="Tahoma"/>
            <family val="0"/>
          </rPr>
          <t>Carolyn J. Henri:</t>
        </r>
        <r>
          <rPr>
            <sz val="8"/>
            <rFont val="Tahoma"/>
            <family val="0"/>
          </rPr>
          <t xml:space="preserve">
Present value of a periodic cash flow to occur every 20 years and commence 20 years from now.</t>
        </r>
      </text>
    </comment>
    <comment ref="G149" authorId="0">
      <text>
        <r>
          <rPr>
            <b/>
            <sz val="8"/>
            <rFont val="Tahoma"/>
            <family val="0"/>
          </rPr>
          <t>Carolyn J. Henri:</t>
        </r>
        <r>
          <rPr>
            <sz val="8"/>
            <rFont val="Tahoma"/>
            <family val="0"/>
          </rPr>
          <t xml:space="preserve">
Present value of a periodic cash flow to occur every 35 years and commence 35 years from now.</t>
        </r>
      </text>
    </comment>
    <comment ref="G161" authorId="0">
      <text>
        <r>
          <rPr>
            <sz val="8"/>
            <rFont val="Tahoma"/>
            <family val="0"/>
          </rPr>
          <t xml:space="preserve">
Present value of a one time cost that will be incurred 15 years from now.</t>
        </r>
      </text>
    </comment>
    <comment ref="G164" authorId="0">
      <text>
        <r>
          <rPr>
            <sz val="8"/>
            <rFont val="Tahoma"/>
            <family val="0"/>
          </rPr>
          <t xml:space="preserve">
Present value of a perpetual series of costs that will occur every 20 years for hardwood logging and every 35 years for softwood logging.</t>
        </r>
      </text>
    </comment>
    <comment ref="B148" authorId="0">
      <text>
        <r>
          <rPr>
            <b/>
            <sz val="8"/>
            <rFont val="Tahoma"/>
            <family val="0"/>
          </rPr>
          <t>Carolyn J. Henri:</t>
        </r>
        <r>
          <rPr>
            <sz val="8"/>
            <rFont val="Tahoma"/>
            <family val="0"/>
          </rPr>
          <t xml:space="preserve">
Hardwoods are harvested every twenty years</t>
        </r>
      </text>
    </comment>
    <comment ref="B149" authorId="0">
      <text>
        <r>
          <rPr>
            <b/>
            <sz val="8"/>
            <rFont val="Tahoma"/>
            <family val="0"/>
          </rPr>
          <t>Carolyn J. Henri:</t>
        </r>
        <r>
          <rPr>
            <sz val="8"/>
            <rFont val="Tahoma"/>
            <family val="0"/>
          </rPr>
          <t xml:space="preserve">
Softwoods are harvested every 35 years</t>
        </r>
      </text>
    </comment>
    <comment ref="E148" authorId="0">
      <text>
        <r>
          <rPr>
            <sz val="8"/>
            <rFont val="Tahoma"/>
            <family val="0"/>
          </rPr>
          <t xml:space="preserve">
This is the total volume harvested over the entire period of years selected for the harvest evaluation.  See Buffer Harvest Sched worksheet for more detail.</t>
        </r>
      </text>
    </comment>
    <comment ref="B164" authorId="0">
      <text>
        <r>
          <rPr>
            <b/>
            <sz val="8"/>
            <rFont val="Tahoma"/>
            <family val="0"/>
          </rPr>
          <t>Carolyn J. Henri:</t>
        </r>
        <r>
          <rPr>
            <sz val="8"/>
            <rFont val="Tahoma"/>
            <family val="0"/>
          </rPr>
          <t xml:space="preserve">
Hardwoods are logged every 20 years.  Softwoods are logged every 35 years.</t>
        </r>
      </text>
    </comment>
    <comment ref="F148" authorId="0">
      <text>
        <r>
          <rPr>
            <b/>
            <sz val="8"/>
            <rFont val="Tahoma"/>
            <family val="0"/>
          </rPr>
          <t>Carolyn J. Henri:</t>
        </r>
        <r>
          <rPr>
            <sz val="8"/>
            <rFont val="Tahoma"/>
            <family val="0"/>
          </rPr>
          <t xml:space="preserve">
Leave this cell blank
</t>
        </r>
      </text>
    </comment>
    <comment ref="F149" authorId="0">
      <text>
        <r>
          <rPr>
            <b/>
            <sz val="8"/>
            <rFont val="Tahoma"/>
            <family val="0"/>
          </rPr>
          <t>Carolyn J. Henri:</t>
        </r>
        <r>
          <rPr>
            <sz val="8"/>
            <rFont val="Tahoma"/>
            <family val="0"/>
          </rPr>
          <t xml:space="preserve">
Leave this cell blank</t>
        </r>
      </text>
    </comment>
    <comment ref="F164" authorId="0">
      <text>
        <r>
          <rPr>
            <b/>
            <sz val="8"/>
            <rFont val="Tahoma"/>
            <family val="0"/>
          </rPr>
          <t>Carolyn J. Henri:</t>
        </r>
        <r>
          <rPr>
            <sz val="8"/>
            <rFont val="Tahoma"/>
            <family val="0"/>
          </rPr>
          <t xml:space="preserve">
Leave this cell blank
</t>
        </r>
      </text>
    </comment>
    <comment ref="F165" authorId="0">
      <text>
        <r>
          <rPr>
            <b/>
            <sz val="8"/>
            <rFont val="Tahoma"/>
            <family val="0"/>
          </rPr>
          <t>Carolyn J. Henri:</t>
        </r>
        <r>
          <rPr>
            <sz val="8"/>
            <rFont val="Tahoma"/>
            <family val="0"/>
          </rPr>
          <t xml:space="preserve">
Leave this cell blank
</t>
        </r>
      </text>
    </comment>
    <comment ref="B70" authorId="0">
      <text>
        <r>
          <rPr>
            <sz val="8"/>
            <rFont val="Tahoma"/>
            <family val="0"/>
          </rPr>
          <t xml:space="preserve">
Assumes stand is replanted every X years.  X is determined in the Farm and Buffer Assumptions worksheet</t>
        </r>
      </text>
    </comment>
    <comment ref="F199" authorId="0">
      <text>
        <r>
          <rPr>
            <b/>
            <sz val="8"/>
            <rFont val="Tahoma"/>
            <family val="0"/>
          </rPr>
          <t>Carolyn J. Henri:</t>
        </r>
        <r>
          <rPr>
            <sz val="8"/>
            <rFont val="Tahoma"/>
            <family val="0"/>
          </rPr>
          <t xml:space="preserve">
This is the fixed cost per acre</t>
        </r>
      </text>
    </comment>
    <comment ref="A73" authorId="0">
      <text>
        <r>
          <rPr>
            <sz val="8"/>
            <rFont val="Tahoma"/>
            <family val="0"/>
          </rPr>
          <t xml:space="preserve">
This is the fixed costs per acre from the SILAGE budget w.o. buffer worksheet.  Fixed costs are included in the hay and silage buffer budgets because it is assumed that the farmer would spread his/her fixed costs over productive acreage in the buffer in addition to his normal production acreage.
</t>
        </r>
        <r>
          <rPr>
            <b/>
            <sz val="8"/>
            <rFont val="Tahoma"/>
            <family val="2"/>
          </rPr>
          <t>Note</t>
        </r>
        <r>
          <rPr>
            <sz val="8"/>
            <rFont val="Tahoma"/>
            <family val="0"/>
          </rPr>
          <t xml:space="preserve"> that an operator management fee and land rent cost associated with silage production are not attributed to the buffer area.
</t>
        </r>
      </text>
    </comment>
    <comment ref="E160" authorId="0">
      <text>
        <r>
          <rPr>
            <sz val="8"/>
            <rFont val="Tahoma"/>
            <family val="0"/>
          </rPr>
          <t xml:space="preserve">
The default assumption is that 10% of the stand will have to be replanted due to mortality caused by damage, drought, beaver, etc.  This percentage can be changed by the used.</t>
        </r>
      </text>
    </comment>
    <comment ref="E149" authorId="0">
      <text>
        <r>
          <rPr>
            <sz val="8"/>
            <rFont val="Tahoma"/>
            <family val="0"/>
          </rPr>
          <t xml:space="preserve">
This is the total volume harvested over the entire period of years selected for the harvest evaluation.  See Buffer Harvest Sched worksheet for more detail.</t>
        </r>
      </text>
    </comment>
    <comment ref="G99"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G115"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D190" authorId="0">
      <text>
        <r>
          <rPr>
            <sz val="8"/>
            <rFont val="Tahoma"/>
            <family val="0"/>
          </rPr>
          <t xml:space="preserve">
This includes N fertilizer, NPK fertilizer, and lime.  The majority of the cost is the initial dose of lime at installation.  This number should be adjusted to your particular management.</t>
        </r>
      </text>
    </comment>
  </commentList>
</comments>
</file>

<file path=xl/sharedStrings.xml><?xml version="1.0" encoding="utf-8"?>
<sst xmlns="http://schemas.openxmlformats.org/spreadsheetml/2006/main" count="1687" uniqueCount="701">
  <si>
    <t>Annual GRASS FORAGE PRODUCTION Budget for the Stillaguamish Valley*</t>
  </si>
  <si>
    <t>Acres in production:</t>
  </si>
  <si>
    <t>Unit</t>
  </si>
  <si>
    <t>$/unit</t>
  </si>
  <si>
    <t>Quantity</t>
  </si>
  <si>
    <t>Total</t>
  </si>
  <si>
    <t>Total per Acre</t>
  </si>
  <si>
    <t>GROSS INCOME</t>
  </si>
  <si>
    <t>Grass Silage</t>
  </si>
  <si>
    <t>tons</t>
  </si>
  <si>
    <t>Grass Hay</t>
  </si>
  <si>
    <t>ton</t>
  </si>
  <si>
    <t xml:space="preserve">  Government payments</t>
  </si>
  <si>
    <t xml:space="preserve">  Other grass-related income: </t>
  </si>
  <si>
    <t>TOTAL GROSS INCOME</t>
  </si>
  <si>
    <t>VARIABLE (Operating) COSTS</t>
  </si>
  <si>
    <t>Grass seed</t>
  </si>
  <si>
    <t>acre</t>
  </si>
  <si>
    <t>Fertilizer:</t>
  </si>
  <si>
    <t xml:space="preserve">  46-0-0</t>
  </si>
  <si>
    <t>lbs.</t>
  </si>
  <si>
    <t xml:space="preserve">  18-18-18</t>
  </si>
  <si>
    <t xml:space="preserve">   0-0-60</t>
  </si>
  <si>
    <t xml:space="preserve">  11-52-0</t>
  </si>
  <si>
    <t xml:space="preserve">  Lime</t>
  </si>
  <si>
    <t xml:space="preserve">  Manure</t>
  </si>
  <si>
    <t>Total Fertilizer Expenses</t>
  </si>
  <si>
    <t xml:space="preserve">  Roundup</t>
  </si>
  <si>
    <t xml:space="preserve">  MCPA</t>
  </si>
  <si>
    <t>Miscellaneous (dues, legal, accounting, travel, education, etc.)</t>
  </si>
  <si>
    <t>Interest on operating capital</t>
  </si>
  <si>
    <t>Other:</t>
  </si>
  <si>
    <t>TOTAL VARIABLE COSTS</t>
  </si>
  <si>
    <t>Property taxes on bldgs, equip and land</t>
  </si>
  <si>
    <t>Special assessments/fees (i.e. drain/dike)</t>
  </si>
  <si>
    <t>Insurance</t>
  </si>
  <si>
    <t>TOTAL FIXED COSTS</t>
  </si>
  <si>
    <t>TOTAL VARIABLE &amp; FIXED COSTS</t>
  </si>
  <si>
    <t>Operator management</t>
  </si>
  <si>
    <t>TOTAL COSTS</t>
  </si>
  <si>
    <t>NET PROJECTED RETURNS</t>
  </si>
  <si>
    <t>Item</t>
  </si>
  <si>
    <t>Purchase Price US$ (Unit)</t>
  </si>
  <si>
    <t>Market Value</t>
  </si>
  <si>
    <t>Salvage Value</t>
  </si>
  <si>
    <t>Useful Life (yrs)</t>
  </si>
  <si>
    <t>Annual Insurance</t>
  </si>
  <si>
    <t xml:space="preserve">  Other:</t>
  </si>
  <si>
    <t>Equipment</t>
  </si>
  <si>
    <t>Silage Bunkers</t>
  </si>
  <si>
    <t xml:space="preserve">  100'x50'x12'</t>
  </si>
  <si>
    <t xml:space="preserve">  100'x60'x22'</t>
  </si>
  <si>
    <t>Total Investment</t>
  </si>
  <si>
    <t>Farm Machinery Compliment**</t>
  </si>
  <si>
    <t>Repairs</t>
  </si>
  <si>
    <t>Fuel/Oil</t>
  </si>
  <si>
    <t xml:space="preserve">Total </t>
  </si>
  <si>
    <r>
      <t>** Smathers, Robert "</t>
    </r>
    <r>
      <rPr>
        <sz val="10"/>
        <rFont val="Arial"/>
        <family val="2"/>
      </rPr>
      <t>Costs of Owning and Operating Farm Machinery in the Pacific Northwest" 2000</t>
    </r>
    <r>
      <rPr>
        <sz val="10"/>
        <rFont val="Arial"/>
        <family val="0"/>
      </rPr>
      <t>, 2001, U of Idaho</t>
    </r>
  </si>
  <si>
    <t>FARM ASSUMPTIONS</t>
  </si>
  <si>
    <t>Explanation/Source of Information</t>
  </si>
  <si>
    <t>Capital and Land</t>
  </si>
  <si>
    <t>Total acreage of Farmstead (Owned)</t>
  </si>
  <si>
    <t>acres</t>
  </si>
  <si>
    <t># of owned acres in production</t>
  </si>
  <si>
    <t xml:space="preserve"># of LEASED acres in production </t>
  </si>
  <si>
    <t>Property Tax rate</t>
  </si>
  <si>
    <t>%</t>
  </si>
  <si>
    <t>Interest rate on Capital Investments</t>
  </si>
  <si>
    <t>Insurance rate on Capital Equipment and Buildings</t>
  </si>
  <si>
    <t>BUFFER ASSUMPTIONS</t>
  </si>
  <si>
    <t>Buffer Assumptions</t>
  </si>
  <si>
    <t>Hay Yield</t>
  </si>
  <si>
    <t>Wash Ag Stats Snohomish County 4 year average 1998-2001</t>
  </si>
  <si>
    <t>Years</t>
  </si>
  <si>
    <t>Typical western Washington practice</t>
  </si>
  <si>
    <t>trees/acre</t>
  </si>
  <si>
    <t>FEDERAL-STATE COST SHARING PROGRAM ASSUMPTIONS</t>
  </si>
  <si>
    <t>Assumption</t>
  </si>
  <si>
    <t>Cost share program contract length</t>
  </si>
  <si>
    <t>years</t>
  </si>
  <si>
    <t>One-time sign-up bonus</t>
  </si>
  <si>
    <t>$</t>
  </si>
  <si>
    <t>This should be a per-ACRE amount</t>
  </si>
  <si>
    <t>Installation cost share</t>
  </si>
  <si>
    <t>Maintenance cost share</t>
  </si>
  <si>
    <t>(Y/N)</t>
  </si>
  <si>
    <t xml:space="preserve"> '1' if yes or '0' if no </t>
  </si>
  <si>
    <t>FARM AND BUFFER INPUT PRICES</t>
  </si>
  <si>
    <t>Farm Prices</t>
  </si>
  <si>
    <t>Explanation</t>
  </si>
  <si>
    <t>Source</t>
  </si>
  <si>
    <t xml:space="preserve">Price received by growers.  4 year annual avg. Snohomish County 1998-2001 </t>
  </si>
  <si>
    <t>WAS 2002*</t>
  </si>
  <si>
    <t>Wet tons; price received by grower</t>
  </si>
  <si>
    <t>lb.</t>
  </si>
  <si>
    <t>CENEX 2/3/03</t>
  </si>
  <si>
    <t>Hired Labor</t>
  </si>
  <si>
    <t>Hour</t>
  </si>
  <si>
    <t>Includes benefits</t>
  </si>
  <si>
    <t>Farmland market value</t>
  </si>
  <si>
    <t>Price per acre sold as ag land, not for other uses</t>
  </si>
  <si>
    <t>1997 Ag Census</t>
  </si>
  <si>
    <t>Farmland assessed value</t>
  </si>
  <si>
    <t>Ag land rental rate</t>
  </si>
  <si>
    <t>*Washington Agricultural Statistics (WAS)</t>
  </si>
  <si>
    <t>Buffer Prices</t>
  </si>
  <si>
    <t>Hay seed</t>
  </si>
  <si>
    <t>grass seed</t>
  </si>
  <si>
    <t xml:space="preserve"> (1) 25 lb. Bag/acre @39.00/bag</t>
  </si>
  <si>
    <t>CENEX</t>
  </si>
  <si>
    <t>Trees and Shrub Planting</t>
  </si>
  <si>
    <t>Avg.= 1.90/tree incl. material and labor to plant, 500 trees per acre.</t>
  </si>
  <si>
    <t>NRCS Greg Fisher; Jenny Baker, Snohomish CD</t>
  </si>
  <si>
    <t>Cost Range: $400-$735 per acre.  Total amount includes tubing, stakes and installation labor.  Sources: NRCS Greg Fisher, Jenny Baker, Snohomish CD</t>
  </si>
  <si>
    <t>Fencing</t>
  </si>
  <si>
    <t>Lineal Ft.</t>
  </si>
  <si>
    <t>NRCS 2003 Cost List</t>
  </si>
  <si>
    <t>Site Preparation (buffer)</t>
  </si>
  <si>
    <t>brush clearing + hygrotill + before and after herbicide spray</t>
  </si>
  <si>
    <t>NRCS 2003 Cost List; Greg Fisher; Al Craney (Skagit CD)</t>
  </si>
  <si>
    <t>Mowing cost</t>
  </si>
  <si>
    <t xml:space="preserve">grass strip </t>
  </si>
  <si>
    <t>Sohngen et al, 1999</t>
  </si>
  <si>
    <t>Weed control in buffer area</t>
  </si>
  <si>
    <t>herbicide application or hand slash</t>
  </si>
  <si>
    <t>Tree thinning cost</t>
  </si>
  <si>
    <t>Light thin (&lt;300 tpa)</t>
  </si>
  <si>
    <t>Tree pruning cost (1st lift)</t>
  </si>
  <si>
    <t>Merwin et al</t>
  </si>
  <si>
    <t>Tree pruning cost (2nd lift)</t>
  </si>
  <si>
    <t>Harvest costs (hay &amp; grass silage)</t>
  </si>
  <si>
    <t>acre/yr</t>
  </si>
  <si>
    <t>includes average of 4 harvests per year</t>
  </si>
  <si>
    <t>Hauling costs (trees)</t>
  </si>
  <si>
    <t>LOG LINES Log Price Reporting Service</t>
  </si>
  <si>
    <t>Telephone</t>
  </si>
  <si>
    <t>360 336-6850</t>
  </si>
  <si>
    <t>P.O. Box 2215</t>
  </si>
  <si>
    <t>Fax</t>
  </si>
  <si>
    <t>360 336-2624</t>
  </si>
  <si>
    <t>Mount Vernon, WA  98273</t>
  </si>
  <si>
    <t>E-mail</t>
  </si>
  <si>
    <t>loglines@fidalgo.net</t>
  </si>
  <si>
    <t>APRIL 2003</t>
  </si>
  <si>
    <t>R E G I O N   1: Puget Sound</t>
  </si>
  <si>
    <t>Change</t>
  </si>
  <si>
    <t xml:space="preserve"> </t>
  </si>
  <si>
    <t>month</t>
  </si>
  <si>
    <t>year</t>
  </si>
  <si>
    <t>Species</t>
  </si>
  <si>
    <t>High</t>
  </si>
  <si>
    <t>Avg</t>
  </si>
  <si>
    <t>Low</t>
  </si>
  <si>
    <t>to date</t>
  </si>
  <si>
    <t>Prices reported during the second half of March 2003 $/Mbf</t>
  </si>
  <si>
    <t>DOUGLAS-FIR/EXPORT</t>
  </si>
  <si>
    <t>RED CEDAR</t>
  </si>
  <si>
    <t>Japan 12"</t>
  </si>
  <si>
    <t>#3 Sawmill</t>
  </si>
  <si>
    <t>Japan 8"</t>
  </si>
  <si>
    <t>#4 Sawmill</t>
  </si>
  <si>
    <t>--</t>
  </si>
  <si>
    <t>China 12 High</t>
  </si>
  <si>
    <t>China 12 Low</t>
  </si>
  <si>
    <t>RED ALDER</t>
  </si>
  <si>
    <t>Korea 8</t>
  </si>
  <si>
    <t>#2 Sawmill</t>
  </si>
  <si>
    <t>DOUGLAS-FIR/DOMESTIC</t>
  </si>
  <si>
    <t>Pulp</t>
  </si>
  <si>
    <t>Pulp, $/ton</t>
  </si>
  <si>
    <t>MAPLE</t>
  </si>
  <si>
    <t>Chip &amp; Saw 5"</t>
  </si>
  <si>
    <t>Chip &amp; Saw, $/ton</t>
  </si>
  <si>
    <t>WHITEWOODS/EXPORT</t>
  </si>
  <si>
    <t>COTTONWOOD</t>
  </si>
  <si>
    <t>China 12</t>
  </si>
  <si>
    <t>WHITEWOODS/DOMESTIC</t>
  </si>
  <si>
    <t>Douglas Fir (domestic)</t>
  </si>
  <si>
    <t>White woods (domestic)</t>
  </si>
  <si>
    <t>Hardwoods (RA and Maple)</t>
  </si>
  <si>
    <t>Seed</t>
  </si>
  <si>
    <t>CENEX 8/21/03</t>
  </si>
  <si>
    <t>This is the PER ACRE value used to assess property taxes (based on Sno County Assessor appraisal of your farm)</t>
  </si>
  <si>
    <t>Pesticide</t>
  </si>
  <si>
    <t>Local Stilly Dairy</t>
  </si>
  <si>
    <t>Farm Service Agency Everett</t>
  </si>
  <si>
    <t>Avg. based on predominate soil types in ag areas</t>
  </si>
  <si>
    <t>based on avg. 40 mile haul</t>
  </si>
  <si>
    <t>Log truck cos. Sno/Skagit Counties</t>
  </si>
  <si>
    <t>Herbicide</t>
  </si>
  <si>
    <t>Custom truck application of liquid manure</t>
  </si>
  <si>
    <t>Acres</t>
  </si>
  <si>
    <t>*Assumes field is already established</t>
  </si>
  <si>
    <t xml:space="preserve">  Inoculant</t>
  </si>
  <si>
    <t xml:space="preserve">  Silage cover</t>
  </si>
  <si>
    <t>Other Variable Costs</t>
  </si>
  <si>
    <t>Custom Application of Manure</t>
  </si>
  <si>
    <t>Number of grass harvests per year</t>
  </si>
  <si>
    <t>Grass Silage yield per acre per year</t>
  </si>
  <si>
    <t>Grass Hay yield per acre per year</t>
  </si>
  <si>
    <t>Pacific Pumping Mt. Vernon</t>
  </si>
  <si>
    <t>gal.</t>
  </si>
  <si>
    <t>Soil Sample Test</t>
  </si>
  <si>
    <t>1 test</t>
  </si>
  <si>
    <t>test</t>
  </si>
  <si>
    <t>Pest and Weed Control</t>
  </si>
  <si>
    <t>CASH FIXED COSTS</t>
  </si>
  <si>
    <t>NON-CASH FIXED COSTS</t>
  </si>
  <si>
    <t>Annual cost for stand re-establishment</t>
  </si>
  <si>
    <t>TRACTORS</t>
  </si>
  <si>
    <t>70 hp tractor</t>
  </si>
  <si>
    <t>150 hp tractor</t>
  </si>
  <si>
    <t>160 hp tractor</t>
  </si>
  <si>
    <t>HARVEST EQUIPMENT</t>
  </si>
  <si>
    <t>Windrower Self Prop Heavy Duty</t>
  </si>
  <si>
    <t>Mower-conditioner pull-type</t>
  </si>
  <si>
    <t>Forage harvester pull-type windrow pick-up</t>
  </si>
  <si>
    <t>Forage wagon wood box self-unloading</t>
  </si>
  <si>
    <t>Hay rake ground driven wheels</t>
  </si>
  <si>
    <t>Hay baler 16 x 18 PTO</t>
  </si>
  <si>
    <t>Bale wagon self-prop 3 wide 16 x 18</t>
  </si>
  <si>
    <t xml:space="preserve">Flail shredder </t>
  </si>
  <si>
    <t>TILLAGE EQUIPMENT</t>
  </si>
  <si>
    <t>Disk</t>
  </si>
  <si>
    <t>Field cultivator</t>
  </si>
  <si>
    <t>Harrow, spring tooth</t>
  </si>
  <si>
    <t>Flail Chopper</t>
  </si>
  <si>
    <t>Plow. moldboard</t>
  </si>
  <si>
    <t>Row crop cultivator</t>
  </si>
  <si>
    <t>Harrow/cultivator comb.</t>
  </si>
  <si>
    <t>PLANTING EQUIPMENT</t>
  </si>
  <si>
    <t>No till drill</t>
  </si>
  <si>
    <t>OTHER EQUIPMENT</t>
  </si>
  <si>
    <t>Fertilizer spreader</t>
  </si>
  <si>
    <t>Front-end loader forage</t>
  </si>
  <si>
    <t>Sprayer, boom-type</t>
  </si>
  <si>
    <t>Roller 16 ft</t>
  </si>
  <si>
    <t>Roller 14 ft</t>
  </si>
  <si>
    <t>Irrigation System</t>
  </si>
  <si>
    <t>Machinery (Fuel, Lube, Repairs)</t>
  </si>
  <si>
    <t>Labor</t>
  </si>
  <si>
    <t xml:space="preserve">  Soil sample</t>
  </si>
  <si>
    <t xml:space="preserve">  Crop Supplies and Service</t>
  </si>
  <si>
    <t>Machine Housing</t>
  </si>
  <si>
    <t>Taxes</t>
  </si>
  <si>
    <t>55 hp tractor</t>
  </si>
  <si>
    <t>Gasoline</t>
  </si>
  <si>
    <t>Diesel</t>
  </si>
  <si>
    <t>Pickup</t>
  </si>
  <si>
    <t>Semi truck</t>
  </si>
  <si>
    <t>ATV</t>
  </si>
  <si>
    <t>5 ton dump truck</t>
  </si>
  <si>
    <t>Grass seeder 8'</t>
  </si>
  <si>
    <t>Row Crop Planter</t>
  </si>
  <si>
    <t>Flail shredder 18'</t>
  </si>
  <si>
    <t>VEHICLES</t>
  </si>
  <si>
    <r>
      <t xml:space="preserve">Total Annual Use </t>
    </r>
    <r>
      <rPr>
        <b/>
        <i/>
        <sz val="10"/>
        <rFont val="Arial"/>
        <family val="2"/>
      </rPr>
      <t>hrs.</t>
    </r>
  </si>
  <si>
    <t>Fuel Consumption mi/gal</t>
  </si>
  <si>
    <r>
      <t xml:space="preserve">Total Annual Use </t>
    </r>
    <r>
      <rPr>
        <b/>
        <i/>
        <sz val="10"/>
        <rFont val="Arial"/>
        <family val="2"/>
      </rPr>
      <t>mi.</t>
    </r>
  </si>
  <si>
    <t>Vehicles</t>
  </si>
  <si>
    <t>Other Investments</t>
  </si>
  <si>
    <t>Vehicle Housing</t>
  </si>
  <si>
    <t>Useful Life (yrs.)</t>
  </si>
  <si>
    <t>Fixed Cost Allocation for This Enterprise (%)</t>
  </si>
  <si>
    <t>Equipment Fixed Costs</t>
  </si>
  <si>
    <t>Cost Allocation to This Enterprise (%)</t>
  </si>
  <si>
    <t>Variable Costs This Enterprise</t>
  </si>
  <si>
    <t>TOTAL MACHINE AND VEHICLE VARIABLE COSTS THIS ENTERPRISE</t>
  </si>
  <si>
    <t>Per Acre</t>
  </si>
  <si>
    <t>Subtotals Machinery and Equipment</t>
  </si>
  <si>
    <t xml:space="preserve">Grass Forage Production Capital Investment </t>
  </si>
  <si>
    <t>Equipment Operating Costs: Repairs, Fuel and Lube</t>
  </si>
  <si>
    <t>Crop and Management Assumptions</t>
  </si>
  <si>
    <t>Owner Management Fee</t>
  </si>
  <si>
    <t>Percent</t>
  </si>
  <si>
    <t>Machinery Labor Cost Calculation</t>
  </si>
  <si>
    <t>Total Machine Hours Used in This Enterprise</t>
  </si>
  <si>
    <t>Labor Multiplier</t>
  </si>
  <si>
    <t>Wage</t>
  </si>
  <si>
    <t>Total Machine Labor Cost</t>
  </si>
  <si>
    <t>Cost per acre</t>
  </si>
  <si>
    <t>Storage related production losses</t>
  </si>
  <si>
    <t>Interest rate on Operating Capital</t>
  </si>
  <si>
    <t>Net Returns to Management and Land</t>
  </si>
  <si>
    <t>Land Rent</t>
  </si>
  <si>
    <t>Machinery Labor Multiplier</t>
  </si>
  <si>
    <t>#</t>
  </si>
  <si>
    <t>Enter number of green tons per acre</t>
  </si>
  <si>
    <t>---</t>
  </si>
  <si>
    <t xml:space="preserve">Annual Equivalent Buffer Revenues </t>
  </si>
  <si>
    <t xml:space="preserve">Annual Equivalent Buffer Costs </t>
  </si>
  <si>
    <r>
      <t xml:space="preserve">Annual GRASS FORAGE PRODUCTION Budget for the Stillaguamish Valley* </t>
    </r>
    <r>
      <rPr>
        <b/>
        <i/>
        <sz val="14"/>
        <rFont val="Arial"/>
        <family val="2"/>
      </rPr>
      <t>(with riparian buffers)</t>
    </r>
  </si>
  <si>
    <t>Multi-Zone Buffer Builder (a.k.a. "Build Your Own Buffers")</t>
  </si>
  <si>
    <t>Amount</t>
  </si>
  <si>
    <t>Type 1</t>
  </si>
  <si>
    <t>lineal feet</t>
  </si>
  <si>
    <t>Type 2</t>
  </si>
  <si>
    <t>Type 3</t>
  </si>
  <si>
    <t xml:space="preserve">Type 4 </t>
  </si>
  <si>
    <t>Type 5</t>
  </si>
  <si>
    <t>Type 9</t>
  </si>
  <si>
    <t xml:space="preserve">Fencing cost per lineal foot: </t>
  </si>
  <si>
    <t>3) Select treatment for Type 1 watercourses</t>
  </si>
  <si>
    <t>Buffer Type</t>
  </si>
  <si>
    <t>Avg Width (ft.)</t>
  </si>
  <si>
    <t>Setback (no-touch, no planting)</t>
  </si>
  <si>
    <t>Grass filterstrip (no harvest)</t>
  </si>
  <si>
    <t>Grass Silage (managed)</t>
  </si>
  <si>
    <t>Hay (managed)</t>
  </si>
  <si>
    <t>Shrub (no touch)</t>
  </si>
  <si>
    <t>Mixed forest (no touch)</t>
  </si>
  <si>
    <t>Mixed forest (managed)</t>
  </si>
  <si>
    <t>Total buffer width and acreage Type 1 watercourses</t>
  </si>
  <si>
    <t>4) Select treatment for Type 2 watercourses</t>
  </si>
  <si>
    <t>Total buffer width and acreage Type 2 watercourses</t>
  </si>
  <si>
    <t>5) Select treatment for Type 3 watercourses</t>
  </si>
  <si>
    <t>Total buffer width and acreage Type 3 watercourses</t>
  </si>
  <si>
    <t>6) Select treatment for Type 4 watercourses</t>
  </si>
  <si>
    <t>Total buffer width and acreage Type 4 watercourses</t>
  </si>
  <si>
    <t>7) Select treatment for Type 5 watercourses</t>
  </si>
  <si>
    <t>Total buffer width and acreage Type 5 watercourses</t>
  </si>
  <si>
    <t>8) Select treatment for Type 9 watercourses</t>
  </si>
  <si>
    <t>Total buffer width and acreage Type 9 watercourses</t>
  </si>
  <si>
    <t>Buffer Acreage Summary</t>
  </si>
  <si>
    <t>Total acreage in buffer</t>
  </si>
  <si>
    <t>check</t>
  </si>
  <si>
    <t>Number of buffer acres no-touch</t>
  </si>
  <si>
    <t>Number of buffer acres managed or accessible</t>
  </si>
  <si>
    <r>
      <t xml:space="preserve">2) </t>
    </r>
    <r>
      <rPr>
        <sz val="11"/>
        <rFont val="Arial"/>
        <family val="2"/>
      </rPr>
      <t>Of the total in 1), how many lineal feet will require fencing?:</t>
    </r>
  </si>
  <si>
    <t>Lineal Foot</t>
  </si>
  <si>
    <t>PER ACRE Buffer Budgets (seven different buffer types)</t>
  </si>
  <si>
    <t>Year</t>
  </si>
  <si>
    <t>#1 Setback Buffer* Income and Costs PER ACRE</t>
  </si>
  <si>
    <t>Year**</t>
  </si>
  <si>
    <t>Total (PV)***</t>
  </si>
  <si>
    <t>Data Source/Comments</t>
  </si>
  <si>
    <t>Cash Flow</t>
  </si>
  <si>
    <t>Income</t>
  </si>
  <si>
    <t>Installation Cost Share Payment</t>
  </si>
  <si>
    <t xml:space="preserve">  Install Cost Share</t>
  </si>
  <si>
    <t>Maintenance Cost Share Payment</t>
  </si>
  <si>
    <t xml:space="preserve">  Maint Cost Share</t>
  </si>
  <si>
    <t>Annual Land Rental Cost Share Payment</t>
  </si>
  <si>
    <t xml:space="preserve">  Land Rental Pmt</t>
  </si>
  <si>
    <t>Sign-Up or other one-time bonus</t>
  </si>
  <si>
    <t xml:space="preserve">  Sign Up Bonus</t>
  </si>
  <si>
    <t>Buffer Total Gross Income</t>
  </si>
  <si>
    <t>Installation Cost</t>
  </si>
  <si>
    <t>Maintenance Cost</t>
  </si>
  <si>
    <t>Installation Costs</t>
  </si>
  <si>
    <t>Net</t>
  </si>
  <si>
    <t>Survey and Stake buffer area</t>
  </si>
  <si>
    <t>Subtotal Installation Costs</t>
  </si>
  <si>
    <t>100 Yr CF Comparison</t>
  </si>
  <si>
    <t>Maintenance Costs</t>
  </si>
  <si>
    <t>Maint cost share weeds</t>
  </si>
  <si>
    <t xml:space="preserve">Weed Control </t>
  </si>
  <si>
    <t>Indefinite</t>
  </si>
  <si>
    <t>mechanical/hand/chemical Range: $300-700/acre</t>
  </si>
  <si>
    <t>Subtotal Maintenance Costs</t>
  </si>
  <si>
    <t>Install Costs</t>
  </si>
  <si>
    <t>Total Buffer Cost****</t>
  </si>
  <si>
    <t>Maint cost weeds (100 years worth)</t>
  </si>
  <si>
    <t>Buffer Net Present Value</t>
  </si>
  <si>
    <t>Check</t>
  </si>
  <si>
    <t>**Year in which the income or cost occurs</t>
  </si>
  <si>
    <t>Difference w/ my model</t>
  </si>
  <si>
    <t>*** In the event the income or cost is recurrent over more than one year  future revenues and costs are converted to their Present Value</t>
  </si>
  <si>
    <t>#2 Grass Filter Strip* Income and Costs  PER ACRE</t>
  </si>
  <si>
    <t>Assumed to be one-time costs</t>
  </si>
  <si>
    <t>Site Preparation (Brush clearing, initial weed control)</t>
  </si>
  <si>
    <t>Range $500-$1,200, Al Craney, Skagit CD</t>
  </si>
  <si>
    <t>Assume no maintenance cost or cost-sharing in the year of installation.</t>
  </si>
  <si>
    <t>Grass filter strip installation (NRCS practice 393)</t>
  </si>
  <si>
    <t>100 Yr.  NPV Comparison</t>
  </si>
  <si>
    <t>Maint cost share</t>
  </si>
  <si>
    <t>Mowing (grass)</t>
  </si>
  <si>
    <t>Mow twice/year @ 50.00/acre each time</t>
  </si>
  <si>
    <t>#3 Hay Buffer* Income and Costs PER ACRE</t>
  </si>
  <si>
    <t>Hay income</t>
  </si>
  <si>
    <t xml:space="preserve">  Hay revenue</t>
  </si>
  <si>
    <t>Sub-total Buffer Total Gross Income</t>
  </si>
  <si>
    <t>Maintenance/Operations Cost</t>
  </si>
  <si>
    <t>Installation Costs^</t>
  </si>
  <si>
    <t>Tillage (labor and equipment)</t>
  </si>
  <si>
    <t>Fertilizer</t>
  </si>
  <si>
    <t>BC Ministry of Ag</t>
  </si>
  <si>
    <t>Maint cost share payment</t>
  </si>
  <si>
    <t>Maintenance/Operational Costs</t>
  </si>
  <si>
    <t>Hay revenue</t>
  </si>
  <si>
    <t>Fertilizer is applied every year in the spring; BC Ministry of Ag</t>
  </si>
  <si>
    <t>Harvest</t>
  </si>
  <si>
    <t>Harvest 4 times per year.  Total ANNUAL harvest cost per acre is $160.00</t>
  </si>
  <si>
    <t>Maint/operational cost (100 yrs.)</t>
  </si>
  <si>
    <t>Tilling occurs every four years after initial establishment.</t>
  </si>
  <si>
    <t>Hay is reseeded every four years after establishment.</t>
  </si>
  <si>
    <t>**Year(s) in which the income or cost occurs</t>
  </si>
  <si>
    <t xml:space="preserve">^All installation costs occur in the first year the buffer is established.  </t>
  </si>
  <si>
    <t>#4 Shrub Buffer* Income and Costs PER ACRE</t>
  </si>
  <si>
    <t>Buffer Gross Income</t>
  </si>
  <si>
    <t>Maintenance Cost Share Payment (weed control)</t>
  </si>
  <si>
    <t>Maintenance Cost Share Payment (re-planting)</t>
  </si>
  <si>
    <t xml:space="preserve">  Maint Cost Share (weed)</t>
  </si>
  <si>
    <t xml:space="preserve">  Maint Cost Share (replant)</t>
  </si>
  <si>
    <t>Maintenance Cost (weed)</t>
  </si>
  <si>
    <t xml:space="preserve">Site Preparation </t>
  </si>
  <si>
    <t>Cost range $500-1,200/acre, Includes brush clearing, weed control, hygrotilling.  Sources: NRCS Greg Fisher, Al Craney, Skagit CD</t>
  </si>
  <si>
    <t>Maintenance Cost (replant)</t>
  </si>
  <si>
    <t>Shrub Seedling &amp; Planting</t>
  </si>
  <si>
    <t>Planting density 500 shrubs per acre; costs range from $200-$750 per acre depending on the type and size of plant stock used. Sources: shrub stock assumed to be half the cost of CREP planting stock.</t>
  </si>
  <si>
    <t>Shrub protectors + installation</t>
  </si>
  <si>
    <t>Cost Range: $400-$735 per acre for 500 plants.  Total amount includes tubing, stakes and installation labor.  Sources: NRCS Greg Fisher, Jenny Baker, Snohomish CD.  Assume 2/3 of stock would be tubed.</t>
  </si>
  <si>
    <t>mechanical/hand/chemical; Range: $300- $700/acre Source:  Tim Miller, WSU Mt. Vernon</t>
  </si>
  <si>
    <t>Re-planting shrubs^</t>
  </si>
  <si>
    <t>Assumes 7% shrub mortality</t>
  </si>
  <si>
    <t>Maint cost weeds</t>
  </si>
  <si>
    <t>replant cost</t>
  </si>
  <si>
    <t>**Year or years in which the income or cost occurs</t>
  </si>
  <si>
    <t>^Shrub mortality caused by wildlife browsing, drought, flood and storm damage</t>
  </si>
  <si>
    <t>#5 Mixed Forest* Buffer Income and Costs (no-touch) PER ACRE</t>
  </si>
  <si>
    <t>Tree/shrub Seedling &amp; Planting</t>
  </si>
  <si>
    <t xml:space="preserve">Planting density 500 trees per acre; costs range from $400-$1500 per acre depending on the type and size of seeding stock used. Sources: NRCS Greg Fisher, Jenny Baker, Snohomish CD </t>
  </si>
  <si>
    <t>Seedling protectors + installation</t>
  </si>
  <si>
    <t>Re-planting trees/shrubs^</t>
  </si>
  <si>
    <t>Assumes 10% tree mortality</t>
  </si>
  <si>
    <t>**Year or period of years in which the income or cost occurs</t>
  </si>
  <si>
    <t>^Tree mortality caused by wildlife browsing, drought, flood and storm damage</t>
  </si>
  <si>
    <t xml:space="preserve"> #6 Mixed Forest Buffer* Income and Costs (managed) PER ACRE</t>
  </si>
  <si>
    <t xml:space="preserve">  Maint Cost Share (weed cont)</t>
  </si>
  <si>
    <t>Thinning revenue</t>
  </si>
  <si>
    <t>MBF</t>
  </si>
  <si>
    <t>Hardwood timber revenue</t>
  </si>
  <si>
    <t xml:space="preserve">  Thinning revenue</t>
  </si>
  <si>
    <t>Coniferous timber revenue</t>
  </si>
  <si>
    <t xml:space="preserve">  Hardwood harvest income</t>
  </si>
  <si>
    <t>Total Buffer Gross Income</t>
  </si>
  <si>
    <t xml:space="preserve">  Softwood harvest income</t>
  </si>
  <si>
    <t>Costs</t>
  </si>
  <si>
    <t xml:space="preserve">  Installation </t>
  </si>
  <si>
    <t xml:space="preserve">  Weed control</t>
  </si>
  <si>
    <t xml:space="preserve">  Replanting</t>
  </si>
  <si>
    <t>Cost Range: $400-$735.  Total amount includes tubing, stakes and installation labor.  Sources: NRCS Greg Fisher, Jenny Baker, Snohomish CD</t>
  </si>
  <si>
    <t xml:space="preserve">  Thinning</t>
  </si>
  <si>
    <t xml:space="preserve">  First Pruning</t>
  </si>
  <si>
    <t xml:space="preserve">  Second Pruning</t>
  </si>
  <si>
    <t>Operational and Maintenance Costs</t>
  </si>
  <si>
    <t xml:space="preserve">  Logging Hardwoods</t>
  </si>
  <si>
    <t xml:space="preserve">  Logging Softwoods</t>
  </si>
  <si>
    <t xml:space="preserve">  Hauling</t>
  </si>
  <si>
    <t>Thinning</t>
  </si>
  <si>
    <t>First Pruning</t>
  </si>
  <si>
    <t>Second Pruning</t>
  </si>
  <si>
    <t>NPV Analysis</t>
  </si>
  <si>
    <t>Subtotal Operational and Maintenance Costs</t>
  </si>
  <si>
    <t>#7 Grass Silage Buffer* Income and Costs PER ACRE</t>
  </si>
  <si>
    <t>Grass Silage revenue</t>
  </si>
  <si>
    <t>Source: Ministry of Ag British Columbia</t>
  </si>
  <si>
    <t>Fertilizer is applied every year in the spring; Source: Ministry of Ag British Columbia</t>
  </si>
  <si>
    <t xml:space="preserve">  Grass Silage revenue</t>
  </si>
  <si>
    <t>Harvest 4 times per year @ 40.00 per acre each time.  Assume no harvest first year.</t>
  </si>
  <si>
    <t>Tilling occurs every four years after initial establishment</t>
  </si>
  <si>
    <t>Maintenance/Operations Costs</t>
  </si>
  <si>
    <t>Grass is reseeded every 4 years after initial establishment</t>
  </si>
  <si>
    <t>Subtotal Maintenance/Operations Costs</t>
  </si>
  <si>
    <t xml:space="preserve">Maint cost share </t>
  </si>
  <si>
    <t>Grass Silage Revenue (100 years)</t>
  </si>
  <si>
    <t>NPV Income is $154 less than my analysis</t>
  </si>
  <si>
    <t>NPV Costs are $93 less than in my analysis</t>
  </si>
  <si>
    <t>Maint/operational costs (100 yrs)</t>
  </si>
  <si>
    <t>Difference b/t revenue and income in NPV Analysis</t>
  </si>
  <si>
    <t>Difference b/t My model and tne NPV analysis</t>
  </si>
  <si>
    <t>Difference is due to infinite costs and revenues vs. costs and revenues over 100 years.</t>
  </si>
  <si>
    <r>
      <t>NPV</t>
    </r>
    <r>
      <rPr>
        <vertAlign val="subscript"/>
        <sz val="10"/>
        <rFont val="Arial"/>
        <family val="2"/>
      </rPr>
      <t>20</t>
    </r>
  </si>
  <si>
    <r>
      <t>NPV</t>
    </r>
    <r>
      <rPr>
        <vertAlign val="subscript"/>
        <sz val="10"/>
        <rFont val="Arial"/>
        <family val="2"/>
      </rPr>
      <t>30</t>
    </r>
  </si>
  <si>
    <r>
      <t>NPV</t>
    </r>
    <r>
      <rPr>
        <vertAlign val="subscript"/>
        <sz val="10"/>
        <rFont val="Arial"/>
        <family val="2"/>
      </rPr>
      <t>40</t>
    </r>
  </si>
  <si>
    <r>
      <t>NPV</t>
    </r>
    <r>
      <rPr>
        <vertAlign val="subscript"/>
        <sz val="10"/>
        <rFont val="Arial"/>
        <family val="2"/>
      </rPr>
      <t>50</t>
    </r>
  </si>
  <si>
    <r>
      <t>NPV</t>
    </r>
    <r>
      <rPr>
        <vertAlign val="subscript"/>
        <sz val="10"/>
        <rFont val="Arial"/>
        <family val="2"/>
      </rPr>
      <t>60</t>
    </r>
  </si>
  <si>
    <r>
      <t>NPV</t>
    </r>
    <r>
      <rPr>
        <vertAlign val="subscript"/>
        <sz val="10"/>
        <rFont val="Arial"/>
        <family val="2"/>
      </rPr>
      <t>70</t>
    </r>
  </si>
  <si>
    <r>
      <t>NPV</t>
    </r>
    <r>
      <rPr>
        <vertAlign val="subscript"/>
        <sz val="10"/>
        <rFont val="Arial"/>
        <family val="2"/>
      </rPr>
      <t>80</t>
    </r>
  </si>
  <si>
    <r>
      <t>NPV</t>
    </r>
    <r>
      <rPr>
        <vertAlign val="subscript"/>
        <sz val="10"/>
        <rFont val="Arial"/>
        <family val="2"/>
      </rPr>
      <t>90</t>
    </r>
  </si>
  <si>
    <r>
      <t>NPV</t>
    </r>
    <r>
      <rPr>
        <vertAlign val="subscript"/>
        <sz val="10"/>
        <rFont val="Arial"/>
        <family val="2"/>
      </rPr>
      <t>100</t>
    </r>
  </si>
  <si>
    <r>
      <t>Maint cost (</t>
    </r>
    <r>
      <rPr>
        <b/>
        <sz val="10"/>
        <color indexed="10"/>
        <rFont val="Arial"/>
        <family val="2"/>
      </rPr>
      <t>100 Yrs</t>
    </r>
    <r>
      <rPr>
        <sz val="10"/>
        <rFont val="Arial"/>
        <family val="0"/>
      </rPr>
      <t>)</t>
    </r>
  </si>
  <si>
    <t xml:space="preserve">* For the purpose of this exercise, it is assumed that the buffer is a no-touch setback.  No trees are planted.  For the purpose of calculating Present Values (PV) of on-going weed control, the buffer is assumed to be permanent.  Weeding expenses and cost sharing begin in the year the buffer is established.  </t>
  </si>
  <si>
    <t>**** This represents the AVERAGE costs of buffer installation and maintenance.  Actual costs can be much higher or lower depending on specific site conditions.  Where available, the range of costs for certain practices has been noted in the data source/comments column.</t>
  </si>
  <si>
    <t xml:space="preserve">* For the purpose of this exercise, it is assumed that the buffer is a no-touch setback, in which the Guidelines for installing a NRCS Filter Strip are followed.  No trees are planted.  Existing weeds are removed at establishment and controlled through semi-annual mowing. For the purpose of calculating Present Value (PV) of mowing, the buffer is assumed to be permanent. No Maintenance costs are incurred in the first year. </t>
  </si>
  <si>
    <t>* For the purpose of this exercise, it is assumed that the buffer is planted with hay.  Site preparation is followed by conventional tilling, fertilizer and seeding.  The hay is re-seeded every four years and fertilized each year in the spring.  Four harvests per year are obtained.  No harvest is obtained in the first year.  Annual yield can be adjusted in the "Buffer Assumptions" Table in the "Farm &amp; Buffer Assumptions" worksheet.</t>
  </si>
  <si>
    <t xml:space="preserve">* For the purpose of this exercise, it is assumed that the buffer is a no-touch shrub buffer including mixed native species plantings at a density of 500 shrubs per acre. Existing weeds are removed at establishment and controlled for the first 5 years.  Re-establishment of shrubs that died after planting occurs in the second year. </t>
  </si>
  <si>
    <t>* For the purpose of this exercise, it is assumed that the buffer is a forested buffer planted to current state standards for CREP buffers, including mixed native species planted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&amp; Buffer Assumptions worksheet.</t>
  </si>
  <si>
    <t>* For the purpose of this exercise, it is assumed that the buffer is a forested buffer planted to current state standards for CREP buffers, including mixed native species plantings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and Buffer Assumptions worksheet.</t>
  </si>
  <si>
    <t xml:space="preserve">* For the purpose of this exercise, it is assumed that the buffer is planted with grass for silage and green chop.  Site preparation is followed by conventional tilling, fertilizer and seeding.  The grass is re-seeded every four years and fertilized each year in the spring.  </t>
  </si>
  <si>
    <t>Buffer Budget Summary</t>
  </si>
  <si>
    <t>Buffer Revenues</t>
  </si>
  <si>
    <t xml:space="preserve">  Installation Cost Share Payment</t>
  </si>
  <si>
    <t xml:space="preserve">  Maintenance Cost Share Payment</t>
  </si>
  <si>
    <t xml:space="preserve">  Land Rental Cost Share Payment</t>
  </si>
  <si>
    <t xml:space="preserve">  Sign-Up or other one-time bonus</t>
  </si>
  <si>
    <t xml:space="preserve">  Hay income</t>
  </si>
  <si>
    <t xml:space="preserve">  Grass silage income</t>
  </si>
  <si>
    <t xml:space="preserve">  Timber thinning income </t>
  </si>
  <si>
    <t xml:space="preserve">  Timber harvest income (stumpage)</t>
  </si>
  <si>
    <t xml:space="preserve">  Other Income #1</t>
  </si>
  <si>
    <t xml:space="preserve">  Other Income #2</t>
  </si>
  <si>
    <t>Sub Total Buffer Revenues</t>
  </si>
  <si>
    <t xml:space="preserve">Buffer Costs </t>
  </si>
  <si>
    <t>One Time and/or Installation Costs</t>
  </si>
  <si>
    <t>PV</t>
  </si>
  <si>
    <t xml:space="preserve">  Survey and Stake buffer area</t>
  </si>
  <si>
    <t xml:space="preserve">  Site Preparation </t>
  </si>
  <si>
    <t xml:space="preserve">  Tillage Costs (buffer estab. Only)</t>
  </si>
  <si>
    <t xml:space="preserve">  Grass Filter strip installation</t>
  </si>
  <si>
    <t xml:space="preserve">  Fertilizer (initial establishment of hay and grass buffers)</t>
  </si>
  <si>
    <t xml:space="preserve">  Seed (hay and grass silage)</t>
  </si>
  <si>
    <t xml:space="preserve">  Tree/shrub Seedling &amp; Planting</t>
  </si>
  <si>
    <t xml:space="preserve">  Seedling/shrub protectors + installation</t>
  </si>
  <si>
    <t xml:space="preserve">  Fencing + installation (incl. Gates)</t>
  </si>
  <si>
    <t xml:space="preserve">  Other Cost(s)</t>
  </si>
  <si>
    <t>Annual or Recurring Buffer Costs</t>
  </si>
  <si>
    <t xml:space="preserve">  Mowing (grass)</t>
  </si>
  <si>
    <t xml:space="preserve">  Weed Control </t>
  </si>
  <si>
    <t xml:space="preserve">  Tillage costs (ongoing)</t>
  </si>
  <si>
    <t xml:space="preserve">  Fertilizer</t>
  </si>
  <si>
    <t xml:space="preserve">  Fence Repair &amp; Maintenance</t>
  </si>
  <si>
    <t xml:space="preserve">  Thinning (trees)</t>
  </si>
  <si>
    <t xml:space="preserve">  First Pruning (trees)</t>
  </si>
  <si>
    <t xml:space="preserve">  Second Pruning (trees)</t>
  </si>
  <si>
    <t xml:space="preserve">  Harvest (hay, grass silage, timber)</t>
  </si>
  <si>
    <t>Sub Total Buffer Costs</t>
  </si>
  <si>
    <t>Annualized Revenues (Costs) over 10 Years</t>
  </si>
  <si>
    <t>Annual Equivalent Buffer Revenues</t>
  </si>
  <si>
    <t>Annual Equivalent Buffer Costs (annualized)</t>
  </si>
  <si>
    <t>Total Annual Equivalent Revenue (Cost)</t>
  </si>
  <si>
    <t>Annualized Revenues (Costs) over 15 Years</t>
  </si>
  <si>
    <t>Annualized Revenues (Costs) over 25 Years</t>
  </si>
  <si>
    <t>Annualized Revenues (Costs) over 50 Years</t>
  </si>
  <si>
    <t>used for discounting future costs and revenues back to present time</t>
  </si>
  <si>
    <t>tons/acre/year</t>
  </si>
  <si>
    <t>Grass Silage yield</t>
  </si>
  <si>
    <t>Hay/grass seeding interval</t>
  </si>
  <si>
    <t>Tree seedling planting density</t>
  </si>
  <si>
    <t>Current CREP standard</t>
  </si>
  <si>
    <t xml:space="preserve">1st Pruning </t>
  </si>
  <si>
    <t xml:space="preserve">2nd Pruning </t>
  </si>
  <si>
    <t xml:space="preserve">Thinning </t>
  </si>
  <si>
    <t xml:space="preserve">Timber Harvest </t>
  </si>
  <si>
    <t>Type either 10, 15,25, or 50 in the box to the left. If you do not choose one of these four numbers, the Budget With Buffer will not calculate correctly.</t>
  </si>
  <si>
    <t>Annual land rental rate</t>
  </si>
  <si>
    <t>Currently this is between 200% and 210% (March 2003)</t>
  </si>
  <si>
    <t>$/acre</t>
  </si>
  <si>
    <t>Years of maintenance paid by the program for forest/shrub buffers</t>
  </si>
  <si>
    <t>Years of maintenance paid by the program for setback/grass/hay buffers</t>
  </si>
  <si>
    <r>
      <t xml:space="preserve">Cost Sharing available for </t>
    </r>
    <r>
      <rPr>
        <b/>
        <sz val="14"/>
        <color indexed="12"/>
        <rFont val="Arial"/>
        <family val="2"/>
      </rPr>
      <t>setbacks</t>
    </r>
    <r>
      <rPr>
        <b/>
        <sz val="12"/>
        <rFont val="Arial"/>
        <family val="2"/>
      </rPr>
      <t xml:space="preserve">? </t>
    </r>
  </si>
  <si>
    <t xml:space="preserve">  Is there an annual land rental payment?</t>
  </si>
  <si>
    <t xml:space="preserve">1' if yes or '0' if no </t>
  </si>
  <si>
    <t xml:space="preserve">  Is there a one-time sign-up bonus?</t>
  </si>
  <si>
    <t xml:space="preserve">  Is there installation cost share support?</t>
  </si>
  <si>
    <t xml:space="preserve">  Is there maintenance cost share support?</t>
  </si>
  <si>
    <r>
      <t xml:space="preserve">Cost sharing available for </t>
    </r>
    <r>
      <rPr>
        <b/>
        <sz val="14"/>
        <color indexed="12"/>
        <rFont val="Arial"/>
        <family val="2"/>
      </rPr>
      <t>hay</t>
    </r>
    <r>
      <rPr>
        <b/>
        <sz val="12"/>
        <rFont val="Arial"/>
        <family val="2"/>
      </rPr>
      <t xml:space="preserve"> buffers?</t>
    </r>
  </si>
  <si>
    <r>
      <t xml:space="preserve">Cost sharing available for </t>
    </r>
    <r>
      <rPr>
        <b/>
        <sz val="14"/>
        <color indexed="12"/>
        <rFont val="Arial"/>
        <family val="2"/>
      </rPr>
      <t>shrub</t>
    </r>
    <r>
      <rPr>
        <b/>
        <sz val="12"/>
        <rFont val="Arial"/>
        <family val="2"/>
      </rPr>
      <t xml:space="preserve"> buffers?</t>
    </r>
  </si>
  <si>
    <r>
      <t xml:space="preserve">Cost sharing available for </t>
    </r>
    <r>
      <rPr>
        <b/>
        <sz val="14"/>
        <color indexed="12"/>
        <rFont val="Arial"/>
        <family val="2"/>
      </rPr>
      <t>mixed forest</t>
    </r>
    <r>
      <rPr>
        <b/>
        <sz val="12"/>
        <rFont val="Arial"/>
        <family val="2"/>
      </rPr>
      <t xml:space="preserve"> no-touch buffers?</t>
    </r>
  </si>
  <si>
    <r>
      <t xml:space="preserve">Cost sharing available for </t>
    </r>
    <r>
      <rPr>
        <b/>
        <sz val="14"/>
        <color indexed="12"/>
        <rFont val="Arial"/>
        <family val="2"/>
      </rPr>
      <t>mixed forest</t>
    </r>
    <r>
      <rPr>
        <b/>
        <sz val="12"/>
        <rFont val="Arial"/>
        <family val="2"/>
      </rPr>
      <t xml:space="preserve"> (managed) buffers?</t>
    </r>
  </si>
  <si>
    <r>
      <t xml:space="preserve">Cost sharing available for </t>
    </r>
    <r>
      <rPr>
        <b/>
        <sz val="14"/>
        <color indexed="12"/>
        <rFont val="Arial"/>
        <family val="2"/>
      </rPr>
      <t>grass silage</t>
    </r>
    <r>
      <rPr>
        <b/>
        <sz val="12"/>
        <rFont val="Arial"/>
        <family val="2"/>
      </rPr>
      <t xml:space="preserve"> buffers?</t>
    </r>
  </si>
  <si>
    <t>Must select 10 or 15 years</t>
  </si>
  <si>
    <t>Tree/Shrub Protectors</t>
  </si>
  <si>
    <t xml:space="preserve">  Hauling (timber)</t>
  </si>
  <si>
    <t>% of Total Income</t>
  </si>
  <si>
    <t>% of Total Cost</t>
  </si>
  <si>
    <t>Timber Prices</t>
  </si>
  <si>
    <t>Softwood Pulp</t>
  </si>
  <si>
    <t>Hardwood Pulp ($/ton)</t>
  </si>
  <si>
    <t>($/MBF unless otherwise noted)</t>
  </si>
  <si>
    <t>Chip &amp; Saw ($/ton)</t>
  </si>
  <si>
    <t>Annual License and Tax</t>
  </si>
  <si>
    <t>Enter green tons per acre per year</t>
  </si>
  <si>
    <t>Integrating Riparian Area Income and Costs</t>
  </si>
  <si>
    <t>Into The Annual Budgeting Process</t>
  </si>
  <si>
    <t>Resource Consulting</t>
  </si>
  <si>
    <t>Grass Silage Budgets and Riparian Buffers:</t>
  </si>
  <si>
    <t xml:space="preserve">  Re-planting trees/shrubs</t>
  </si>
  <si>
    <t>Average Annual Buffer Revenues and Costs (Annual Equivalents)</t>
  </si>
  <si>
    <t>Acres in production prior to buffer:</t>
  </si>
  <si>
    <t>Acres in production post buffer:</t>
  </si>
  <si>
    <t>Lime</t>
  </si>
  <si>
    <t>Per Acre of Buffer</t>
  </si>
  <si>
    <t>Per Acre Farmed</t>
  </si>
  <si>
    <t>Gross Income</t>
  </si>
  <si>
    <t>Variable Costs</t>
  </si>
  <si>
    <t>Fixed Costs</t>
  </si>
  <si>
    <t>Enterprise Net Projected Return</t>
  </si>
  <si>
    <t>Per Acre Net Projected Return</t>
  </si>
  <si>
    <t>7% is a typical fee used in current WSU crop budgets</t>
  </si>
  <si>
    <r>
      <t>1)</t>
    </r>
    <r>
      <rPr>
        <sz val="11"/>
        <rFont val="Arial"/>
        <family val="2"/>
      </rPr>
      <t xml:space="preserve"> How many lineal feet of riparian area will be included in the buffer enterprise?   Include footage on </t>
    </r>
    <r>
      <rPr>
        <b/>
        <i/>
        <sz val="11"/>
        <rFont val="Arial"/>
        <family val="2"/>
      </rPr>
      <t>both</t>
    </r>
    <r>
      <rPr>
        <sz val="11"/>
        <rFont val="Arial"/>
        <family val="2"/>
      </rPr>
      <t xml:space="preserve"> sides of a waterway if you own or lease the property on both sides.  Select from the following stream types (enter 0 if you do not have that stream type): </t>
    </r>
  </si>
  <si>
    <t>Estimate the number of buffer acres that will be on leased land</t>
  </si>
  <si>
    <t>Owner Management Fee and Land Costs</t>
  </si>
  <si>
    <t>Buffer Statistics</t>
  </si>
  <si>
    <t>*All figures in US Dollars unless otherwise noted</t>
  </si>
  <si>
    <t>Productive Acreage (acres)</t>
  </si>
  <si>
    <t>Acreage placed in buffer (acres)</t>
  </si>
  <si>
    <t>**PV = Present Value</t>
  </si>
  <si>
    <t>Buffer</t>
  </si>
  <si>
    <t>Pre</t>
  </si>
  <si>
    <t>Post</t>
  </si>
  <si>
    <t>Economic impact on silage enterprise</t>
  </si>
  <si>
    <r>
      <t xml:space="preserve">Cost-sharing available for </t>
    </r>
    <r>
      <rPr>
        <b/>
        <sz val="14"/>
        <color indexed="12"/>
        <rFont val="Arial"/>
        <family val="2"/>
      </rPr>
      <t>grass filter strips</t>
    </r>
    <r>
      <rPr>
        <b/>
        <sz val="12"/>
        <rFont val="Arial"/>
        <family val="2"/>
      </rPr>
      <t>?</t>
    </r>
  </si>
  <si>
    <t>Discount rate</t>
  </si>
  <si>
    <t>Over how many years do you want to annualize the revenues and costs of the buffer?</t>
  </si>
  <si>
    <t>Manure</t>
  </si>
  <si>
    <r>
      <t xml:space="preserve">Fertilizer application rates </t>
    </r>
    <r>
      <rPr>
        <b/>
        <sz val="10"/>
        <rFont val="Arial"/>
        <family val="2"/>
      </rPr>
      <t>PER ACRE</t>
    </r>
  </si>
  <si>
    <t>Enter application rate PER ACRE</t>
  </si>
  <si>
    <t>Fixed Costs Allocated To This Enterprise</t>
  </si>
  <si>
    <t>Machinery housing</t>
  </si>
  <si>
    <t>VOLUME XV: ISSUE #4 (April, 2003)</t>
  </si>
  <si>
    <t>Local Dairy grass silage=$25/green ton;  WSU Extension says price is closer to $39/ton.  Confirm.</t>
  </si>
  <si>
    <t xml:space="preserve">Description of Scenario: </t>
  </si>
  <si>
    <t>N fertilizer</t>
  </si>
  <si>
    <t>lbs/acre</t>
  </si>
  <si>
    <t>Assumes two applications per year, each 50 lbs./acre</t>
  </si>
  <si>
    <t xml:space="preserve">Fixed costs per acre </t>
  </si>
  <si>
    <t>Annual Capital Recovery</t>
  </si>
  <si>
    <t>Farmland</t>
  </si>
  <si>
    <t>Capital recovery on bldgs, equip, &amp; land</t>
  </si>
  <si>
    <r>
      <t>Annualization Period for Buffer Income and Costs:</t>
    </r>
    <r>
      <rPr>
        <sz val="12"/>
        <rFont val="Arial"/>
        <family val="0"/>
      </rPr>
      <t xml:space="preserve"> 15</t>
    </r>
  </si>
  <si>
    <t>Total  Present Value of Buffer NET Revenues (Costs)</t>
  </si>
  <si>
    <t>Present Value of Net Buffer Revenue (Cost) PER ACRE of Buffer</t>
  </si>
  <si>
    <t xml:space="preserve"> '1' if yes or '0' if no.  Change this to '1' only if you intend to prune the trees in the forested buffer area</t>
  </si>
  <si>
    <t xml:space="preserve"> '1' if yes or '0' if no.  Change this to '1' only if you intend to thin the trees in a forested buffer area</t>
  </si>
  <si>
    <t xml:space="preserve"> '1' if yes or '0' if no.  Change this to '1' only if you intend to harvest in the forested buffer area</t>
  </si>
  <si>
    <t>Thinning done in year 15</t>
  </si>
  <si>
    <t>Mixed Forest Buffer Harvest Schedule</t>
  </si>
  <si>
    <t>Red Alder Volume Assumptions:</t>
  </si>
  <si>
    <t>Volume per tree:</t>
  </si>
  <si>
    <t>Board feet</t>
  </si>
  <si>
    <t>20 yrs</t>
  </si>
  <si>
    <t>40 yrs</t>
  </si>
  <si>
    <t>60 yrs.</t>
  </si>
  <si>
    <t>Doug Fir Volume Assumptions:</t>
  </si>
  <si>
    <t>Board feet:</t>
  </si>
  <si>
    <t>35 years</t>
  </si>
  <si>
    <t>70 years</t>
  </si>
  <si>
    <t>105 years</t>
  </si>
  <si>
    <t>Remaining stems</t>
  </si>
  <si>
    <t>DOUG FIR</t>
  </si>
  <si>
    <t>Remaining Stems</t>
  </si>
  <si>
    <t>Board Feet RA</t>
  </si>
  <si>
    <t>Board Feet Doug Fir</t>
  </si>
  <si>
    <t>Income RA</t>
  </si>
  <si>
    <t>Income DF</t>
  </si>
  <si>
    <t>Harvest hardwood volume every 20 years</t>
  </si>
  <si>
    <t>Harvest softwood volume every 35 years</t>
  </si>
  <si>
    <t>Doug Fir</t>
  </si>
  <si>
    <t>Logging &amp; Hauling Costs</t>
  </si>
  <si>
    <t>Weight in tons</t>
  </si>
  <si>
    <t xml:space="preserve">  Hardwoods</t>
  </si>
  <si>
    <t xml:space="preserve">  Doug Fir</t>
  </si>
  <si>
    <t>Red Alder</t>
  </si>
  <si>
    <t>Green weight per MBF in TONS</t>
  </si>
  <si>
    <t>Logging cost</t>
  </si>
  <si>
    <t>Quotes from local logging companies (Concrete and Mt. Vernon)</t>
  </si>
  <si>
    <t>Hauling cost</t>
  </si>
  <si>
    <t>------</t>
  </si>
  <si>
    <t>20 &amp; 35</t>
  </si>
  <si>
    <t xml:space="preserve">Selective Logging </t>
  </si>
  <si>
    <t>Hauling (trees)</t>
  </si>
  <si>
    <t>Harvest costs (trees)</t>
  </si>
  <si>
    <t>----------</t>
  </si>
  <si>
    <t>--------</t>
  </si>
  <si>
    <t>Non-Productive Buffer (acres):</t>
  </si>
  <si>
    <t>Total net income/cost of buffer (PV)**</t>
  </si>
  <si>
    <t>lbs. of N fertilizer applied each year in buffer area (silage &amp; hay buffer)</t>
  </si>
  <si>
    <t>Number of  Stems Harvested and Total Volume by Species</t>
  </si>
  <si>
    <t>December, 2003</t>
  </si>
  <si>
    <t>Species #3 Volume Assumptions:</t>
  </si>
  <si>
    <t>X years</t>
  </si>
  <si>
    <t>XX years</t>
  </si>
  <si>
    <t>XXX years</t>
  </si>
  <si>
    <t>SPECIES #3</t>
  </si>
  <si>
    <t>Plant XXX stems</t>
  </si>
  <si>
    <t>Board Feet Sp #3</t>
  </si>
  <si>
    <t>Income Sp #3</t>
  </si>
  <si>
    <t>Present Value of RA Income</t>
  </si>
  <si>
    <t>Present Value of DF Income</t>
  </si>
  <si>
    <t>Present Value of Sp #3 Income</t>
  </si>
  <si>
    <t>Present Value of Logging costs</t>
  </si>
  <si>
    <t>Present Value of Hauling costs</t>
  </si>
  <si>
    <t>Will any part of the forested buffer be managed for commercial timber production?</t>
  </si>
  <si>
    <t xml:space="preserve"> '1' if yes or '0' if no.  Change this to '1' only if you intend to actively manage part of the forested buffer area for commercial timber harvest.</t>
  </si>
  <si>
    <t>Plant500 stems</t>
  </si>
  <si>
    <r>
      <t>Buffer Commercial Management</t>
    </r>
    <r>
      <rPr>
        <sz val="12"/>
        <rFont val="Arial"/>
        <family val="2"/>
      </rPr>
      <t>: None</t>
    </r>
  </si>
  <si>
    <r>
      <t>Maintenance Cost Share Payment</t>
    </r>
    <r>
      <rPr>
        <vertAlign val="superscript"/>
        <sz val="10"/>
        <rFont val="Arial"/>
        <family val="2"/>
      </rPr>
      <t xml:space="preserve"> </t>
    </r>
    <r>
      <rPr>
        <sz val="10"/>
        <rFont val="Arial"/>
        <family val="2"/>
      </rPr>
      <t>(weed control)</t>
    </r>
  </si>
  <si>
    <r>
      <t xml:space="preserve"> </t>
    </r>
    <r>
      <rPr>
        <b/>
        <sz val="10"/>
        <rFont val="Arial"/>
        <family val="2"/>
      </rPr>
      <t xml:space="preserve"> F</t>
    </r>
    <r>
      <rPr>
        <sz val="10"/>
        <rFont val="Arial"/>
        <family val="0"/>
      </rPr>
      <t>oregone income from the buffer area (acres occupied by buffer x net income loss per acre)</t>
    </r>
  </si>
  <si>
    <r>
      <t xml:space="preserve">  Foregone income from land made </t>
    </r>
    <r>
      <rPr>
        <b/>
        <sz val="10"/>
        <rFont val="Arial"/>
        <family val="2"/>
      </rPr>
      <t>spatially unviable</t>
    </r>
    <r>
      <rPr>
        <sz val="10"/>
        <rFont val="Arial"/>
        <family val="0"/>
      </rPr>
      <t xml:space="preserve"> by buffer</t>
    </r>
  </si>
  <si>
    <t xml:space="preserve">Farm Management Summary: </t>
  </si>
  <si>
    <t xml:space="preserve">Riparian Area Description: </t>
  </si>
  <si>
    <t xml:space="preserve">Riparian Treatments: </t>
  </si>
  <si>
    <t xml:space="preserve">Cost Share:  </t>
  </si>
  <si>
    <t xml:space="preserve">Notes &amp; Results: </t>
  </si>
  <si>
    <t>Buffer Annual Economic Impact Summary *</t>
  </si>
  <si>
    <t>Total net income/cost per acre of buffer (PV)</t>
  </si>
  <si>
    <t xml:space="preserve">Total annualized net income/cost of buffer (PV) </t>
  </si>
  <si>
    <t>Numeric</t>
  </si>
  <si>
    <t>Version 1.1</t>
  </si>
  <si>
    <t>Hay tender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</si>
</sst>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
    <numFmt numFmtId="166" formatCode="0_)"/>
    <numFmt numFmtId="167" formatCode="0.0_)"/>
    <numFmt numFmtId="168" formatCode="0.0"/>
    <numFmt numFmtId="169" formatCode="0.000"/>
    <numFmt numFmtId="170" formatCode="&quot;$&quot;#,##0.00"/>
    <numFmt numFmtId="171" formatCode="&quot;$&quot;#,##0"/>
    <numFmt numFmtId="172" formatCode="&quot;$&quot;#,##0.00;[Red]&quot;$&quot;#,##0.00"/>
    <numFmt numFmtId="173" formatCode="#,##0.000000000000"/>
    <numFmt numFmtId="174" formatCode="#,##0.0000000000"/>
    <numFmt numFmtId="175" formatCode="0_);[Red]\(0\)"/>
    <numFmt numFmtId="176" formatCode="0.00000"/>
    <numFmt numFmtId="177" formatCode="#,##0.0"/>
    <numFmt numFmtId="178" formatCode="_(* #,##0_);_(* \(#,##0\);_(* &quot;-&quot;??_);_(@_)"/>
    <numFmt numFmtId="179" formatCode="0.0%"/>
  </numFmts>
  <fonts count="65">
    <font>
      <sz val="10"/>
      <name val="Arial"/>
      <family val="0"/>
    </font>
    <font>
      <b/>
      <sz val="14"/>
      <name val="Arial"/>
      <family val="2"/>
    </font>
    <font>
      <b/>
      <sz val="10"/>
      <name val="Arial"/>
      <family val="2"/>
    </font>
    <font>
      <b/>
      <i/>
      <sz val="10"/>
      <name val="Arial"/>
      <family val="2"/>
    </font>
    <font>
      <sz val="10"/>
      <color indexed="10"/>
      <name val="Arial"/>
      <family val="0"/>
    </font>
    <font>
      <i/>
      <sz val="10"/>
      <name val="Arial"/>
      <family val="2"/>
    </font>
    <font>
      <b/>
      <sz val="12"/>
      <name val="Arial"/>
      <family val="2"/>
    </font>
    <font>
      <b/>
      <sz val="8"/>
      <name val="Tahoma"/>
      <family val="0"/>
    </font>
    <font>
      <sz val="8"/>
      <name val="Tahoma"/>
      <family val="0"/>
    </font>
    <font>
      <sz val="10"/>
      <color indexed="12"/>
      <name val="Arial"/>
      <family val="2"/>
    </font>
    <font>
      <b/>
      <sz val="11"/>
      <name val="Arial"/>
      <family val="2"/>
    </font>
    <font>
      <sz val="11"/>
      <name val="Arial"/>
      <family val="2"/>
    </font>
    <font>
      <sz val="10"/>
      <color indexed="8"/>
      <name val="Arial"/>
      <family val="2"/>
    </font>
    <font>
      <vertAlign val="subscript"/>
      <sz val="10"/>
      <name val="Arial"/>
      <family val="2"/>
    </font>
    <font>
      <vertAlign val="superscript"/>
      <sz val="10"/>
      <name val="Arial"/>
      <family val="2"/>
    </font>
    <font>
      <b/>
      <sz val="12"/>
      <name val="Times New Roman"/>
      <family val="1"/>
    </font>
    <font>
      <sz val="9"/>
      <name val="Times New Roman"/>
      <family val="1"/>
    </font>
    <font>
      <b/>
      <sz val="11"/>
      <name val="Times New Roman"/>
      <family val="1"/>
    </font>
    <font>
      <sz val="8"/>
      <name val="Times New Roman"/>
      <family val="1"/>
    </font>
    <font>
      <b/>
      <sz val="10"/>
      <name val="Times New Roman"/>
      <family val="1"/>
    </font>
    <font>
      <sz val="10"/>
      <name val="Times New Roman"/>
      <family val="1"/>
    </font>
    <font>
      <sz val="11"/>
      <name val="Times New Roman"/>
      <family val="1"/>
    </font>
    <font>
      <b/>
      <sz val="10"/>
      <color indexed="8"/>
      <name val="Arial"/>
      <family val="2"/>
    </font>
    <font>
      <sz val="8"/>
      <name val="Arial"/>
      <family val="0"/>
    </font>
    <font>
      <b/>
      <i/>
      <sz val="16"/>
      <name val="Arial"/>
      <family val="2"/>
    </font>
    <font>
      <b/>
      <sz val="10"/>
      <color indexed="12"/>
      <name val="Arial"/>
      <family val="2"/>
    </font>
    <font>
      <b/>
      <sz val="18"/>
      <name val="Arial"/>
      <family val="2"/>
    </font>
    <font>
      <b/>
      <sz val="14"/>
      <color indexed="8"/>
      <name val="Arial"/>
      <family val="2"/>
    </font>
    <font>
      <b/>
      <sz val="16"/>
      <name val="Arial"/>
      <family val="2"/>
    </font>
    <font>
      <sz val="14"/>
      <name val="Arial"/>
      <family val="2"/>
    </font>
    <font>
      <b/>
      <sz val="10"/>
      <color indexed="61"/>
      <name val="Arial"/>
      <family val="2"/>
    </font>
    <font>
      <sz val="10"/>
      <color indexed="61"/>
      <name val="Arial"/>
      <family val="2"/>
    </font>
    <font>
      <b/>
      <i/>
      <sz val="14"/>
      <name val="Arial"/>
      <family val="2"/>
    </font>
    <font>
      <b/>
      <i/>
      <sz val="11"/>
      <name val="Arial"/>
      <family val="2"/>
    </font>
    <font>
      <sz val="12"/>
      <name val="Arial"/>
      <family val="2"/>
    </font>
    <font>
      <i/>
      <sz val="12"/>
      <name val="Arial"/>
      <family val="2"/>
    </font>
    <font>
      <u val="single"/>
      <sz val="10"/>
      <color indexed="36"/>
      <name val="Arial"/>
      <family val="0"/>
    </font>
    <font>
      <u val="single"/>
      <sz val="10"/>
      <color indexed="12"/>
      <name val="Arial"/>
      <family val="0"/>
    </font>
    <font>
      <b/>
      <sz val="10"/>
      <color indexed="10"/>
      <name val="Arial"/>
      <family val="2"/>
    </font>
    <font>
      <b/>
      <vertAlign val="superscript"/>
      <sz val="9"/>
      <name val="Tahoma"/>
      <family val="2"/>
    </font>
    <font>
      <b/>
      <sz val="14"/>
      <color indexed="12"/>
      <name val="Arial"/>
      <family val="2"/>
    </font>
    <font>
      <i/>
      <sz val="8"/>
      <name val="Tahoma"/>
      <family val="2"/>
    </font>
    <font>
      <u val="single"/>
      <sz val="8"/>
      <name val="Tahoma"/>
      <family val="2"/>
    </font>
    <font>
      <b/>
      <sz val="20"/>
      <name val="Arial"/>
      <family val="2"/>
    </font>
    <font>
      <sz val="20"/>
      <name val="Arial"/>
      <family val="2"/>
    </font>
    <font>
      <b/>
      <sz val="12"/>
      <color indexed="12"/>
      <name val="Arial"/>
      <family val="2"/>
    </font>
    <font>
      <b/>
      <i/>
      <sz val="12"/>
      <name val="Arial"/>
      <family val="2"/>
    </font>
    <font>
      <b/>
      <i/>
      <sz val="20"/>
      <name val="Arial"/>
      <family val="2"/>
    </font>
    <font>
      <b/>
      <sz val="20"/>
      <color indexed="12"/>
      <name val="Lucida Sans Unicode"/>
      <family val="2"/>
    </font>
    <font>
      <i/>
      <sz val="12"/>
      <color indexed="12"/>
      <name val="Arial"/>
      <family val="2"/>
    </font>
    <font>
      <sz val="18"/>
      <name val="Arial"/>
      <family val="2"/>
    </font>
    <font>
      <b/>
      <sz val="24"/>
      <name val="Lucida Sans Unicode"/>
      <family val="2"/>
    </font>
    <font>
      <b/>
      <u val="single"/>
      <sz val="8"/>
      <name val="Tahoma"/>
      <family val="2"/>
    </font>
    <font>
      <b/>
      <vertAlign val="superscript"/>
      <sz val="10"/>
      <name val="Tahoma"/>
      <family val="2"/>
    </font>
    <font>
      <b/>
      <sz val="10"/>
      <name val="Tahoma"/>
      <family val="2"/>
    </font>
    <font>
      <b/>
      <sz val="10"/>
      <name val="Trebuchet MS"/>
      <family val="2"/>
    </font>
    <font>
      <sz val="10"/>
      <name val="Trebuchet MS"/>
      <family val="2"/>
    </font>
    <font>
      <vertAlign val="superscript"/>
      <sz val="12"/>
      <name val="Trebuchet MS"/>
      <family val="2"/>
    </font>
    <font>
      <b/>
      <sz val="20"/>
      <color indexed="12"/>
      <name val="Arial"/>
      <family val="2"/>
    </font>
    <font>
      <b/>
      <sz val="25.25"/>
      <name val="Arial"/>
      <family val="0"/>
    </font>
    <font>
      <sz val="33.75"/>
      <name val="Arial"/>
      <family val="0"/>
    </font>
    <font>
      <sz val="21"/>
      <name val="Arial"/>
      <family val="0"/>
    </font>
    <font>
      <sz val="10"/>
      <name val="Tahoma"/>
      <family val="0"/>
    </font>
    <font>
      <sz val="16.25"/>
      <name val="Arial"/>
      <family val="2"/>
    </font>
    <font>
      <b/>
      <sz val="8"/>
      <name val="Arial"/>
      <family val="2"/>
    </font>
  </fonts>
  <fills count="1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27"/>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s>
  <borders count="116">
    <border>
      <left/>
      <right/>
      <top/>
      <bottom/>
      <diagonal/>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medium"/>
      <bottom style="double"/>
    </border>
    <border>
      <left style="thin">
        <color indexed="23"/>
      </left>
      <right style="thin">
        <color indexed="23"/>
      </right>
      <top>
        <color indexed="63"/>
      </top>
      <bottom>
        <color indexed="63"/>
      </bottom>
    </border>
    <border>
      <left>
        <color indexed="63"/>
      </left>
      <right>
        <color indexed="63"/>
      </right>
      <top style="medium"/>
      <bottom>
        <color indexed="6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border>
    <border>
      <left>
        <color indexed="63"/>
      </left>
      <right style="medium"/>
      <top style="medium"/>
      <bottom style="medium"/>
    </border>
    <border>
      <left style="thin"/>
      <right style="thin">
        <color indexed="23"/>
      </right>
      <top style="thin"/>
      <bottom style="thin">
        <color indexed="23"/>
      </bottom>
    </border>
    <border>
      <left style="thin"/>
      <right style="thin">
        <color indexed="23"/>
      </right>
      <top style="thin">
        <color indexed="23"/>
      </top>
      <bottom>
        <color indexed="63"/>
      </bottom>
    </border>
    <border>
      <left style="thin">
        <color indexed="23"/>
      </left>
      <right style="thin"/>
      <top style="thin">
        <color indexed="23"/>
      </top>
      <bottom>
        <color indexed="63"/>
      </bottom>
    </border>
    <border>
      <left>
        <color indexed="63"/>
      </left>
      <right style="thin"/>
      <top style="thin"/>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style="thin"/>
      <right style="thin"/>
      <top style="thin"/>
      <bottom style="thin"/>
    </border>
    <border>
      <left style="medium"/>
      <right style="medium"/>
      <top style="medium"/>
      <bottom>
        <color indexed="6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style="thin">
        <color indexed="23"/>
      </left>
      <right style="thin">
        <color indexed="23"/>
      </right>
      <top style="thin"/>
      <bottom style="thin"/>
    </border>
    <border>
      <left>
        <color indexed="63"/>
      </left>
      <right>
        <color indexed="63"/>
      </right>
      <top style="thin"/>
      <bottom style="thin"/>
    </border>
    <border>
      <left style="thin">
        <color indexed="23"/>
      </left>
      <right style="thin">
        <color indexed="2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23"/>
      </left>
      <right style="thin">
        <color indexed="23"/>
      </right>
      <top style="thin">
        <color indexed="23"/>
      </top>
      <bottom style="medium"/>
    </border>
    <border>
      <left style="thin"/>
      <right style="thin"/>
      <top style="thin"/>
      <bottom>
        <color indexed="63"/>
      </bottom>
    </border>
    <border>
      <left style="thin"/>
      <right style="thin"/>
      <top>
        <color indexed="63"/>
      </top>
      <bottom style="thin"/>
    </border>
    <border>
      <left>
        <color indexed="63"/>
      </left>
      <right style="medium">
        <color indexed="23"/>
      </right>
      <top style="medium">
        <color indexed="23"/>
      </top>
      <bottom style="medium">
        <color indexed="2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color indexed="63"/>
      </left>
      <right style="medium"/>
      <top style="thin"/>
      <bottom style="thin"/>
    </border>
    <border>
      <left style="medium"/>
      <right style="thin">
        <color indexed="23"/>
      </right>
      <top style="thin">
        <color indexed="23"/>
      </top>
      <bottom style="medium"/>
    </border>
    <border>
      <left style="thin">
        <color indexed="23"/>
      </left>
      <right style="medium"/>
      <top style="thin">
        <color indexed="23"/>
      </top>
      <bottom style="medium"/>
    </border>
    <border>
      <left style="thin">
        <color indexed="23"/>
      </left>
      <right style="medium"/>
      <top>
        <color indexed="63"/>
      </top>
      <bottom style="thin">
        <color indexed="23"/>
      </bottom>
    </border>
    <border>
      <left>
        <color indexed="63"/>
      </left>
      <right style="thin">
        <color indexed="23"/>
      </right>
      <top>
        <color indexed="63"/>
      </top>
      <bottom style="thin">
        <color indexed="2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indexed="23"/>
      </left>
      <right>
        <color indexed="63"/>
      </right>
      <top>
        <color indexed="63"/>
      </top>
      <bottom>
        <color indexed="63"/>
      </bottom>
    </border>
    <border>
      <left style="thin">
        <color indexed="23"/>
      </left>
      <right style="thin">
        <color indexed="23"/>
      </right>
      <top style="medium"/>
      <bottom>
        <color indexed="63"/>
      </bottom>
    </border>
    <border>
      <left style="thin">
        <color indexed="23"/>
      </left>
      <right style="thin">
        <color indexed="23"/>
      </right>
      <top>
        <color indexed="63"/>
      </top>
      <bottom style="medium"/>
    </border>
    <border>
      <left style="thin">
        <color indexed="23"/>
      </left>
      <right style="thin">
        <color indexed="2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thin">
        <color indexed="23"/>
      </left>
      <right style="medium"/>
      <top style="thin"/>
      <bottom>
        <color indexed="63"/>
      </bottom>
    </border>
    <border>
      <left style="thin">
        <color indexed="23"/>
      </left>
      <right style="medium"/>
      <top>
        <color indexed="63"/>
      </top>
      <bottom>
        <color indexed="63"/>
      </bottom>
    </border>
    <border>
      <left style="medium"/>
      <right style="thin">
        <color indexed="23"/>
      </right>
      <top>
        <color indexed="63"/>
      </top>
      <bottom>
        <color indexed="63"/>
      </bottom>
    </border>
    <border>
      <left style="medium"/>
      <right>
        <color indexed="63"/>
      </right>
      <top style="thin"/>
      <bottom style="thin"/>
    </border>
    <border>
      <left style="medium"/>
      <right style="thin">
        <color indexed="23"/>
      </right>
      <top style="thin"/>
      <bottom style="medium"/>
    </border>
    <border>
      <left style="thin">
        <color indexed="23"/>
      </left>
      <right style="thin">
        <color indexed="23"/>
      </right>
      <top style="thin"/>
      <bottom style="medium"/>
    </border>
    <border>
      <left style="thin">
        <color indexed="23"/>
      </left>
      <right style="medium"/>
      <top style="thin"/>
      <bottom style="medium"/>
    </border>
    <border>
      <left style="thin">
        <color indexed="23"/>
      </left>
      <right style="medium"/>
      <top style="medium"/>
      <bottom>
        <color indexed="63"/>
      </bottom>
    </border>
    <border>
      <left style="medium"/>
      <right style="thin">
        <color indexed="23"/>
      </right>
      <top>
        <color indexed="63"/>
      </top>
      <bottom style="medium"/>
    </border>
    <border>
      <left>
        <color indexed="63"/>
      </left>
      <right style="thin">
        <color indexed="23"/>
      </right>
      <top>
        <color indexed="63"/>
      </top>
      <bottom>
        <color indexed="63"/>
      </bottom>
    </border>
    <border>
      <left>
        <color indexed="63"/>
      </left>
      <right style="thin">
        <color indexed="23"/>
      </right>
      <top>
        <color indexed="63"/>
      </top>
      <bottom style="medium"/>
    </border>
    <border>
      <left style="medium"/>
      <right style="thin">
        <color indexed="23"/>
      </right>
      <top style="medium"/>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style="medium"/>
      <right style="thin">
        <color indexed="23"/>
      </right>
      <top style="thin">
        <color indexed="23"/>
      </top>
      <bottom>
        <color indexed="63"/>
      </bottom>
    </border>
    <border>
      <left style="thin">
        <color indexed="23"/>
      </left>
      <right style="medium"/>
      <top style="thin">
        <color indexed="23"/>
      </top>
      <bottom>
        <color indexed="63"/>
      </bottom>
    </border>
    <border>
      <left style="medium"/>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style="thin">
        <color indexed="23"/>
      </left>
      <right style="medium"/>
      <top style="medium"/>
      <bottom style="thin"/>
    </border>
    <border>
      <left>
        <color indexed="63"/>
      </left>
      <right style="thin">
        <color indexed="23"/>
      </right>
      <top style="thin"/>
      <bottom style="thin"/>
    </border>
    <border>
      <left style="thin">
        <color indexed="23"/>
      </left>
      <right style="thin">
        <color indexed="23"/>
      </right>
      <top>
        <color indexed="63"/>
      </top>
      <bottom style="thin"/>
    </border>
    <border>
      <left style="thin">
        <color indexed="23"/>
      </left>
      <right style="medium"/>
      <top>
        <color indexed="63"/>
      </top>
      <bottom style="thin"/>
    </border>
    <border>
      <left>
        <color indexed="63"/>
      </left>
      <right style="medium"/>
      <top>
        <color indexed="63"/>
      </top>
      <bottom>
        <color indexed="63"/>
      </bottom>
    </border>
    <border>
      <left style="thin">
        <color indexed="23"/>
      </left>
      <right style="medium"/>
      <top style="thin"/>
      <bottom style="thin"/>
    </border>
    <border>
      <left style="thin">
        <color indexed="23"/>
      </left>
      <right>
        <color indexed="63"/>
      </right>
      <top>
        <color indexed="63"/>
      </top>
      <bottom style="medium"/>
    </border>
    <border>
      <left style="thin">
        <color indexed="23"/>
      </left>
      <right style="medium"/>
      <top>
        <color indexed="63"/>
      </top>
      <bottom style="medium"/>
    </border>
    <border>
      <left>
        <color indexed="63"/>
      </left>
      <right style="medium">
        <color indexed="63"/>
      </right>
      <top>
        <color indexed="63"/>
      </top>
      <bottom>
        <color indexed="63"/>
      </bottom>
    </border>
    <border>
      <left style="thin"/>
      <right>
        <color indexed="63"/>
      </right>
      <top>
        <color indexed="63"/>
      </top>
      <bottom style="medium"/>
    </border>
    <border>
      <left style="medium"/>
      <right style="thin">
        <color indexed="23"/>
      </right>
      <top style="medium"/>
      <bottom style="medium"/>
    </border>
    <border>
      <left style="thin">
        <color indexed="23"/>
      </left>
      <right style="thin">
        <color indexed="23"/>
      </right>
      <top style="medium"/>
      <bottom style="medium"/>
    </border>
    <border>
      <left style="thin">
        <color indexed="23"/>
      </left>
      <right style="medium"/>
      <top style="medium"/>
      <bottom style="medium"/>
    </border>
    <border>
      <left style="thin"/>
      <right>
        <color indexed="63"/>
      </right>
      <top>
        <color indexed="63"/>
      </top>
      <bottom style="thin"/>
    </border>
    <border>
      <left>
        <color indexed="63"/>
      </left>
      <right style="medium">
        <color indexed="23"/>
      </right>
      <top style="medium">
        <color indexed="23"/>
      </top>
      <bottom>
        <color indexed="63"/>
      </bottom>
    </border>
    <border>
      <left>
        <color indexed="63"/>
      </left>
      <right style="thin"/>
      <top style="medium"/>
      <bottom style="thin"/>
    </border>
    <border>
      <left style="medium">
        <color indexed="23"/>
      </left>
      <right style="thin"/>
      <top style="thin"/>
      <bottom style="thin"/>
    </border>
    <border>
      <left style="thin">
        <color indexed="23"/>
      </left>
      <right>
        <color indexed="6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cellStyleXfs>
  <cellXfs count="823">
    <xf numFmtId="0" fontId="0" fillId="0" borderId="0" xfId="0" applyAlignment="1">
      <alignment/>
    </xf>
    <xf numFmtId="0" fontId="1" fillId="0" borderId="0" xfId="0" applyFont="1" applyAlignment="1">
      <alignment/>
    </xf>
    <xf numFmtId="0" fontId="0" fillId="0" borderId="0" xfId="0" applyAlignment="1">
      <alignment wrapText="1"/>
    </xf>
    <xf numFmtId="3" fontId="0" fillId="0" borderId="0" xfId="0" applyNumberFormat="1" applyAlignment="1">
      <alignment wrapText="1"/>
    </xf>
    <xf numFmtId="3" fontId="0" fillId="0" borderId="0" xfId="0" applyNumberFormat="1" applyBorder="1" applyAlignment="1">
      <alignment wrapText="1"/>
    </xf>
    <xf numFmtId="3" fontId="1" fillId="0" borderId="0" xfId="0" applyNumberFormat="1" applyFont="1" applyAlignment="1">
      <alignment/>
    </xf>
    <xf numFmtId="3" fontId="0" fillId="0" borderId="1" xfId="0" applyNumberFormat="1" applyBorder="1" applyAlignment="1">
      <alignment wrapText="1"/>
    </xf>
    <xf numFmtId="0" fontId="2" fillId="0" borderId="2" xfId="0" applyFont="1" applyBorder="1" applyAlignment="1">
      <alignment wrapText="1"/>
    </xf>
    <xf numFmtId="3" fontId="2" fillId="0" borderId="2" xfId="0" applyNumberFormat="1" applyFont="1" applyBorder="1" applyAlignment="1">
      <alignment wrapText="1"/>
    </xf>
    <xf numFmtId="3" fontId="2" fillId="0" borderId="2" xfId="0" applyNumberFormat="1" applyFont="1" applyFill="1" applyBorder="1" applyAlignment="1">
      <alignment wrapText="1"/>
    </xf>
    <xf numFmtId="3" fontId="0" fillId="0" borderId="0" xfId="0" applyNumberFormat="1" applyFill="1" applyBorder="1" applyAlignment="1">
      <alignment wrapText="1"/>
    </xf>
    <xf numFmtId="3" fontId="0" fillId="0" borderId="0" xfId="0" applyNumberFormat="1" applyFill="1" applyAlignment="1">
      <alignment wrapText="1"/>
    </xf>
    <xf numFmtId="0" fontId="2" fillId="2" borderId="0" xfId="0" applyFont="1" applyFill="1" applyAlignment="1">
      <alignment wrapText="1"/>
    </xf>
    <xf numFmtId="0" fontId="0" fillId="2" borderId="0" xfId="0" applyFill="1" applyAlignment="1">
      <alignment wrapText="1"/>
    </xf>
    <xf numFmtId="3" fontId="0" fillId="2" borderId="0" xfId="0" applyNumberFormat="1" applyFill="1" applyAlignment="1">
      <alignment wrapText="1"/>
    </xf>
    <xf numFmtId="3" fontId="2" fillId="2" borderId="3" xfId="0" applyNumberFormat="1" applyFont="1" applyFill="1" applyBorder="1" applyAlignment="1">
      <alignment wrapText="1"/>
    </xf>
    <xf numFmtId="3" fontId="0" fillId="2" borderId="0" xfId="0" applyNumberFormat="1" applyFill="1" applyBorder="1" applyAlignment="1">
      <alignment wrapText="1"/>
    </xf>
    <xf numFmtId="0" fontId="0" fillId="0" borderId="4" xfId="0" applyBorder="1" applyAlignment="1">
      <alignment wrapText="1"/>
    </xf>
    <xf numFmtId="4" fontId="0" fillId="0" borderId="4" xfId="0" applyNumberFormat="1" applyBorder="1" applyAlignment="1">
      <alignment wrapText="1"/>
    </xf>
    <xf numFmtId="3" fontId="0" fillId="0" borderId="4" xfId="0" applyNumberFormat="1" applyBorder="1" applyAlignment="1">
      <alignment wrapText="1"/>
    </xf>
    <xf numFmtId="3" fontId="0" fillId="0" borderId="4" xfId="0" applyNumberFormat="1" applyFill="1" applyBorder="1" applyAlignment="1">
      <alignment wrapText="1"/>
    </xf>
    <xf numFmtId="0" fontId="2" fillId="0" borderId="0" xfId="0" applyFont="1" applyAlignment="1">
      <alignment wrapText="1"/>
    </xf>
    <xf numFmtId="3" fontId="2" fillId="0" borderId="0" xfId="0" applyNumberFormat="1" applyFont="1" applyAlignment="1">
      <alignment wrapText="1"/>
    </xf>
    <xf numFmtId="3" fontId="2" fillId="0" borderId="0" xfId="0" applyNumberFormat="1" applyFont="1" applyBorder="1" applyAlignment="1">
      <alignment wrapText="1"/>
    </xf>
    <xf numFmtId="3" fontId="2" fillId="0" borderId="0" xfId="0" applyNumberFormat="1" applyFont="1" applyFill="1" applyBorder="1" applyAlignment="1">
      <alignment wrapText="1"/>
    </xf>
    <xf numFmtId="0" fontId="2" fillId="0" borderId="4" xfId="0" applyFont="1" applyBorder="1" applyAlignment="1">
      <alignment wrapText="1"/>
    </xf>
    <xf numFmtId="2" fontId="0" fillId="0" borderId="4" xfId="0" applyNumberFormat="1" applyBorder="1" applyAlignment="1">
      <alignment wrapText="1"/>
    </xf>
    <xf numFmtId="0" fontId="4" fillId="0" borderId="0" xfId="0" applyFont="1" applyAlignment="1">
      <alignment/>
    </xf>
    <xf numFmtId="3" fontId="0" fillId="0" borderId="4" xfId="0" applyNumberFormat="1" applyFont="1" applyFill="1" applyBorder="1" applyAlignment="1">
      <alignment wrapText="1"/>
    </xf>
    <xf numFmtId="3" fontId="0" fillId="0" borderId="0" xfId="0" applyNumberFormat="1" applyAlignment="1">
      <alignment/>
    </xf>
    <xf numFmtId="0" fontId="0" fillId="0" borderId="5" xfId="0" applyBorder="1" applyAlignment="1">
      <alignment wrapText="1"/>
    </xf>
    <xf numFmtId="3" fontId="0" fillId="0" borderId="5" xfId="0" applyNumberFormat="1" applyBorder="1" applyAlignment="1">
      <alignment wrapText="1"/>
    </xf>
    <xf numFmtId="3" fontId="0" fillId="0" borderId="5" xfId="0" applyNumberFormat="1" applyFill="1" applyBorder="1" applyAlignment="1">
      <alignment wrapText="1"/>
    </xf>
    <xf numFmtId="0" fontId="2" fillId="0" borderId="6" xfId="0" applyFont="1" applyBorder="1" applyAlignment="1">
      <alignment wrapText="1"/>
    </xf>
    <xf numFmtId="3" fontId="2" fillId="0" borderId="6" xfId="0" applyNumberFormat="1" applyFont="1" applyBorder="1" applyAlignment="1">
      <alignment wrapText="1"/>
    </xf>
    <xf numFmtId="3" fontId="2" fillId="0" borderId="6" xfId="0" applyNumberFormat="1" applyFont="1" applyFill="1" applyBorder="1" applyAlignment="1">
      <alignment wrapText="1"/>
    </xf>
    <xf numFmtId="0" fontId="6" fillId="2" borderId="0" xfId="0" applyFont="1" applyFill="1" applyAlignment="1">
      <alignment wrapText="1"/>
    </xf>
    <xf numFmtId="3" fontId="6" fillId="2" borderId="0" xfId="0" applyNumberFormat="1" applyFont="1" applyFill="1" applyAlignment="1">
      <alignment wrapText="1"/>
    </xf>
    <xf numFmtId="3" fontId="6" fillId="2" borderId="0" xfId="0" applyNumberFormat="1" applyFont="1" applyFill="1" applyBorder="1" applyAlignment="1">
      <alignment wrapText="1"/>
    </xf>
    <xf numFmtId="0" fontId="0" fillId="0" borderId="0" xfId="0"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3" fontId="0" fillId="0" borderId="7" xfId="0" applyNumberFormat="1" applyBorder="1" applyAlignment="1">
      <alignment wrapText="1"/>
    </xf>
    <xf numFmtId="0" fontId="0" fillId="0" borderId="7" xfId="0" applyBorder="1" applyAlignment="1">
      <alignment wrapText="1"/>
    </xf>
    <xf numFmtId="0" fontId="0" fillId="0" borderId="8" xfId="0" applyBorder="1" applyAlignment="1">
      <alignment wrapText="1"/>
    </xf>
    <xf numFmtId="0" fontId="5" fillId="0" borderId="0" xfId="0" applyFont="1" applyAlignment="1">
      <alignment wrapText="1"/>
    </xf>
    <xf numFmtId="0" fontId="11" fillId="0" borderId="0" xfId="0" applyFont="1" applyAlignment="1">
      <alignment wrapText="1"/>
    </xf>
    <xf numFmtId="3" fontId="0" fillId="0" borderId="0" xfId="0" applyNumberFormat="1" applyFont="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xf>
    <xf numFmtId="0" fontId="0" fillId="0" borderId="4" xfId="0"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9" xfId="0" applyFont="1" applyBorder="1" applyAlignment="1">
      <alignment/>
    </xf>
    <xf numFmtId="0" fontId="0" fillId="0" borderId="10" xfId="0" applyFont="1" applyBorder="1" applyAlignment="1">
      <alignment wrapText="1"/>
    </xf>
    <xf numFmtId="0" fontId="0" fillId="0" borderId="11" xfId="0" applyFont="1" applyBorder="1" applyAlignment="1">
      <alignment/>
    </xf>
    <xf numFmtId="0" fontId="0" fillId="0" borderId="4" xfId="0" applyFont="1" applyBorder="1" applyAlignment="1">
      <alignment/>
    </xf>
    <xf numFmtId="0" fontId="0" fillId="0" borderId="12" xfId="0" applyFont="1" applyBorder="1" applyAlignment="1">
      <alignment wrapText="1"/>
    </xf>
    <xf numFmtId="0" fontId="0" fillId="0" borderId="13" xfId="0" applyFont="1" applyBorder="1" applyAlignment="1">
      <alignment/>
    </xf>
    <xf numFmtId="0" fontId="0" fillId="0" borderId="14" xfId="0" applyFont="1" applyBorder="1" applyAlignment="1">
      <alignment wrapText="1"/>
    </xf>
    <xf numFmtId="0" fontId="0" fillId="0" borderId="15" xfId="0" applyFont="1" applyFill="1" applyBorder="1" applyAlignment="1">
      <alignment/>
    </xf>
    <xf numFmtId="0" fontId="0" fillId="0" borderId="16" xfId="0" applyFont="1" applyBorder="1" applyAlignment="1">
      <alignment/>
    </xf>
    <xf numFmtId="0" fontId="0" fillId="0" borderId="17" xfId="0" applyFont="1" applyBorder="1" applyAlignment="1">
      <alignment wrapText="1"/>
    </xf>
    <xf numFmtId="0" fontId="0" fillId="0" borderId="11" xfId="0" applyFont="1" applyFill="1" applyBorder="1" applyAlignment="1">
      <alignment/>
    </xf>
    <xf numFmtId="0" fontId="0" fillId="0" borderId="4"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10" fontId="9" fillId="0" borderId="0" xfId="0" applyNumberFormat="1" applyFont="1" applyFill="1" applyBorder="1" applyAlignment="1" applyProtection="1">
      <alignment horizontal="center"/>
      <protection locked="0"/>
    </xf>
    <xf numFmtId="0" fontId="2" fillId="0" borderId="19" xfId="0" applyFont="1" applyBorder="1" applyAlignment="1">
      <alignment horizontal="center" vertical="center" wrapText="1"/>
    </xf>
    <xf numFmtId="0" fontId="0" fillId="0" borderId="15" xfId="0" applyFont="1" applyBorder="1" applyAlignment="1">
      <alignment/>
    </xf>
    <xf numFmtId="0" fontId="0" fillId="0" borderId="4" xfId="0" applyFont="1" applyBorder="1" applyAlignment="1">
      <alignment wrapText="1"/>
    </xf>
    <xf numFmtId="10" fontId="9" fillId="0" borderId="0" xfId="0" applyNumberFormat="1" applyFont="1" applyBorder="1" applyAlignment="1">
      <alignment/>
    </xf>
    <xf numFmtId="0" fontId="0" fillId="0" borderId="0" xfId="0" applyFont="1" applyAlignment="1">
      <alignment/>
    </xf>
    <xf numFmtId="0" fontId="0" fillId="0" borderId="20" xfId="0" applyFont="1" applyBorder="1" applyAlignment="1">
      <alignment/>
    </xf>
    <xf numFmtId="0" fontId="0" fillId="0" borderId="9" xfId="0" applyFont="1" applyBorder="1" applyAlignment="1">
      <alignment horizontal="center"/>
    </xf>
    <xf numFmtId="0" fontId="0" fillId="0" borderId="4" xfId="0" applyFont="1" applyBorder="1" applyAlignment="1">
      <alignment horizontal="center"/>
    </xf>
    <xf numFmtId="0" fontId="0" fillId="0" borderId="21" xfId="0" applyFont="1" applyBorder="1" applyAlignment="1">
      <alignment/>
    </xf>
    <xf numFmtId="0" fontId="0" fillId="0" borderId="5" xfId="0" applyFont="1" applyBorder="1" applyAlignment="1">
      <alignment horizontal="center"/>
    </xf>
    <xf numFmtId="0" fontId="0" fillId="0" borderId="22" xfId="0" applyFont="1" applyBorder="1" applyAlignment="1">
      <alignment wrapText="1"/>
    </xf>
    <xf numFmtId="0" fontId="0" fillId="0" borderId="21" xfId="0" applyFont="1" applyFill="1" applyBorder="1" applyAlignment="1">
      <alignment/>
    </xf>
    <xf numFmtId="0" fontId="0" fillId="0" borderId="23" xfId="0" applyBorder="1" applyAlignment="1">
      <alignment vertical="center" wrapText="1"/>
    </xf>
    <xf numFmtId="3" fontId="0" fillId="0" borderId="4" xfId="0" applyNumberFormat="1" applyFont="1" applyBorder="1" applyAlignment="1">
      <alignment wrapText="1"/>
    </xf>
    <xf numFmtId="0" fontId="15" fillId="0" borderId="0" xfId="0" applyFont="1" applyAlignment="1">
      <alignment/>
    </xf>
    <xf numFmtId="1" fontId="16" fillId="0" borderId="0" xfId="0" applyNumberFormat="1" applyFont="1" applyAlignment="1">
      <alignment horizontal="center"/>
    </xf>
    <xf numFmtId="9" fontId="16" fillId="0" borderId="0" xfId="0" applyNumberFormat="1" applyFont="1" applyAlignment="1">
      <alignment horizontal="right"/>
    </xf>
    <xf numFmtId="0" fontId="16" fillId="0" borderId="0" xfId="0" applyFont="1" applyAlignment="1">
      <alignment/>
    </xf>
    <xf numFmtId="1" fontId="16" fillId="0" borderId="0" xfId="0" applyNumberFormat="1" applyFont="1" applyAlignment="1">
      <alignment horizontal="left"/>
    </xf>
    <xf numFmtId="0" fontId="17" fillId="0" borderId="0" xfId="0" applyFont="1" applyAlignment="1" applyProtection="1">
      <alignment horizontal="left"/>
      <protection/>
    </xf>
    <xf numFmtId="1" fontId="17" fillId="0" borderId="0" xfId="0" applyNumberFormat="1" applyFont="1" applyAlignment="1">
      <alignment horizontal="center"/>
    </xf>
    <xf numFmtId="9" fontId="17" fillId="0" borderId="0" xfId="0" applyNumberFormat="1" applyFont="1" applyAlignment="1">
      <alignment horizontal="center"/>
    </xf>
    <xf numFmtId="0" fontId="17" fillId="0" borderId="0" xfId="0" applyFont="1" applyAlignment="1">
      <alignment/>
    </xf>
    <xf numFmtId="17" fontId="17" fillId="0" borderId="0" xfId="0" applyNumberFormat="1" applyFont="1" applyAlignment="1" quotePrefix="1">
      <alignment horizontal="right"/>
    </xf>
    <xf numFmtId="1" fontId="16" fillId="0" borderId="0" xfId="0" applyNumberFormat="1" applyFont="1" applyAlignment="1" applyProtection="1">
      <alignment horizontal="center"/>
      <protection/>
    </xf>
    <xf numFmtId="9" fontId="16" fillId="0" borderId="0" xfId="0" applyNumberFormat="1" applyFont="1" applyAlignment="1" applyProtection="1">
      <alignment horizontal="center"/>
      <protection/>
    </xf>
    <xf numFmtId="9" fontId="16" fillId="0" borderId="0" xfId="0" applyNumberFormat="1" applyFont="1" applyAlignment="1">
      <alignment horizontal="center"/>
    </xf>
    <xf numFmtId="0" fontId="16" fillId="0" borderId="0" xfId="0" applyFont="1" applyAlignment="1" applyProtection="1">
      <alignment horizontal="left"/>
      <protection/>
    </xf>
    <xf numFmtId="1" fontId="16" fillId="3" borderId="0" xfId="0" applyNumberFormat="1" applyFont="1" applyFill="1" applyAlignment="1" applyProtection="1">
      <alignment horizontal="center"/>
      <protection/>
    </xf>
    <xf numFmtId="0" fontId="18" fillId="0" borderId="0" xfId="0" applyFont="1" applyAlignment="1" applyProtection="1">
      <alignment horizontal="left"/>
      <protection/>
    </xf>
    <xf numFmtId="0" fontId="19" fillId="0" borderId="24" xfId="0" applyFont="1" applyBorder="1" applyAlignment="1" applyProtection="1">
      <alignment horizontal="left"/>
      <protection/>
    </xf>
    <xf numFmtId="1" fontId="20" fillId="0" borderId="24" xfId="0" applyNumberFormat="1" applyFont="1" applyBorder="1" applyAlignment="1">
      <alignment horizontal="center"/>
    </xf>
    <xf numFmtId="1" fontId="20" fillId="3" borderId="24" xfId="0" applyNumberFormat="1" applyFont="1" applyFill="1" applyBorder="1" applyAlignment="1">
      <alignment horizontal="center"/>
    </xf>
    <xf numFmtId="9" fontId="20" fillId="0" borderId="24" xfId="0" applyNumberFormat="1" applyFont="1" applyBorder="1" applyAlignment="1">
      <alignment horizontal="center"/>
    </xf>
    <xf numFmtId="0" fontId="20" fillId="0" borderId="0" xfId="0" applyFont="1" applyAlignment="1">
      <alignment/>
    </xf>
    <xf numFmtId="0" fontId="20" fillId="0" borderId="24" xfId="0" applyFont="1" applyBorder="1" applyAlignment="1">
      <alignment/>
    </xf>
    <xf numFmtId="9" fontId="20" fillId="0" borderId="24" xfId="0" applyNumberFormat="1" applyFont="1" applyBorder="1" applyAlignment="1" quotePrefix="1">
      <alignment horizontal="center"/>
    </xf>
    <xf numFmtId="1" fontId="20" fillId="0" borderId="24" xfId="0" applyNumberFormat="1" applyFont="1" applyBorder="1" applyAlignment="1" applyProtection="1">
      <alignment/>
      <protection/>
    </xf>
    <xf numFmtId="0" fontId="19" fillId="0" borderId="24" xfId="0" applyFont="1" applyBorder="1" applyAlignment="1">
      <alignment/>
    </xf>
    <xf numFmtId="9" fontId="20" fillId="0" borderId="25" xfId="0" applyNumberFormat="1" applyFont="1" applyBorder="1" applyAlignment="1">
      <alignment horizontal="center"/>
    </xf>
    <xf numFmtId="9" fontId="20" fillId="0" borderId="26" xfId="0" applyNumberFormat="1" applyFont="1" applyBorder="1" applyAlignment="1">
      <alignment horizontal="center"/>
    </xf>
    <xf numFmtId="1" fontId="20" fillId="0" borderId="24" xfId="0" applyNumberFormat="1" applyFont="1" applyBorder="1" applyAlignment="1" applyProtection="1">
      <alignment horizontal="center"/>
      <protection/>
    </xf>
    <xf numFmtId="1" fontId="20" fillId="3" borderId="24" xfId="0" applyNumberFormat="1" applyFont="1" applyFill="1" applyBorder="1" applyAlignment="1" applyProtection="1">
      <alignment horizontal="center"/>
      <protection/>
    </xf>
    <xf numFmtId="9" fontId="20" fillId="0" borderId="24" xfId="0" applyNumberFormat="1" applyFont="1" applyFill="1" applyBorder="1" applyAlignment="1" applyProtection="1">
      <alignment horizontal="center"/>
      <protection/>
    </xf>
    <xf numFmtId="9" fontId="20" fillId="0" borderId="27" xfId="0" applyNumberFormat="1" applyFont="1" applyBorder="1" applyAlignment="1">
      <alignment horizontal="center"/>
    </xf>
    <xf numFmtId="1" fontId="19" fillId="0" borderId="24" xfId="0" applyNumberFormat="1" applyFont="1" applyBorder="1" applyAlignment="1" applyProtection="1">
      <alignment/>
      <protection/>
    </xf>
    <xf numFmtId="0" fontId="16" fillId="0" borderId="24" xfId="0" applyFont="1" applyBorder="1" applyAlignment="1">
      <alignment/>
    </xf>
    <xf numFmtId="0" fontId="20" fillId="0" borderId="0" xfId="0" applyFont="1" applyFill="1" applyAlignment="1">
      <alignment/>
    </xf>
    <xf numFmtId="9" fontId="20" fillId="0" borderId="24" xfId="0" applyNumberFormat="1" applyFont="1" applyBorder="1" applyAlignment="1" applyProtection="1">
      <alignment horizontal="center"/>
      <protection/>
    </xf>
    <xf numFmtId="1" fontId="20" fillId="0" borderId="24" xfId="0" applyNumberFormat="1"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1" fontId="20" fillId="0" borderId="0" xfId="0" applyNumberFormat="1" applyFont="1" applyBorder="1" applyAlignment="1">
      <alignment horizontal="center"/>
    </xf>
    <xf numFmtId="9" fontId="20" fillId="0" borderId="0" xfId="0" applyNumberFormat="1" applyFont="1" applyBorder="1" applyAlignment="1">
      <alignment horizontal="center"/>
    </xf>
    <xf numFmtId="0" fontId="21" fillId="0" borderId="0" xfId="0" applyFont="1" applyBorder="1" applyAlignment="1">
      <alignment/>
    </xf>
    <xf numFmtId="1" fontId="21" fillId="0" borderId="0" xfId="0" applyNumberFormat="1" applyFont="1" applyBorder="1" applyAlignment="1">
      <alignment horizontal="center"/>
    </xf>
    <xf numFmtId="0" fontId="21" fillId="0" borderId="0" xfId="0" applyFont="1" applyBorder="1" applyAlignment="1">
      <alignment horizontal="center"/>
    </xf>
    <xf numFmtId="0" fontId="11" fillId="0" borderId="0" xfId="0" applyFont="1" applyAlignment="1">
      <alignment/>
    </xf>
    <xf numFmtId="0" fontId="0" fillId="0" borderId="28" xfId="0" applyFill="1" applyBorder="1" applyAlignment="1">
      <alignment/>
    </xf>
    <xf numFmtId="0" fontId="0" fillId="0" borderId="28" xfId="0" applyBorder="1" applyAlignment="1">
      <alignment wrapText="1"/>
    </xf>
    <xf numFmtId="0" fontId="0" fillId="0" borderId="28" xfId="0" applyBorder="1" applyAlignment="1">
      <alignment/>
    </xf>
    <xf numFmtId="0" fontId="2" fillId="0" borderId="29" xfId="0" applyFont="1" applyBorder="1" applyAlignment="1">
      <alignment horizontal="center" vertical="center" wrapText="1"/>
    </xf>
    <xf numFmtId="10" fontId="9" fillId="0" borderId="0" xfId="0" applyNumberFormat="1" applyFont="1" applyBorder="1" applyAlignment="1">
      <alignment horizontal="right"/>
    </xf>
    <xf numFmtId="0" fontId="2" fillId="0" borderId="28" xfId="0" applyFont="1" applyBorder="1" applyAlignment="1">
      <alignment/>
    </xf>
    <xf numFmtId="0" fontId="4" fillId="0" borderId="28" xfId="0" applyFont="1" applyBorder="1" applyAlignment="1">
      <alignment wrapText="1"/>
    </xf>
    <xf numFmtId="0" fontId="0" fillId="0" borderId="28" xfId="0" applyFont="1" applyBorder="1" applyAlignment="1">
      <alignment/>
    </xf>
    <xf numFmtId="0" fontId="0" fillId="0" borderId="28" xfId="0" applyFont="1" applyBorder="1" applyAlignment="1">
      <alignment wrapText="1"/>
    </xf>
    <xf numFmtId="3" fontId="2" fillId="2" borderId="0" xfId="0" applyNumberFormat="1" applyFont="1" applyFill="1" applyBorder="1" applyAlignment="1">
      <alignment wrapText="1"/>
    </xf>
    <xf numFmtId="2" fontId="9" fillId="4" borderId="4" xfId="0" applyNumberFormat="1" applyFont="1" applyFill="1" applyBorder="1" applyAlignment="1">
      <alignment/>
    </xf>
    <xf numFmtId="4" fontId="9" fillId="4" borderId="4" xfId="0" applyNumberFormat="1" applyFont="1" applyFill="1" applyBorder="1" applyAlignment="1">
      <alignment/>
    </xf>
    <xf numFmtId="4" fontId="9" fillId="4" borderId="16" xfId="0" applyNumberFormat="1" applyFont="1" applyFill="1" applyBorder="1" applyAlignment="1">
      <alignment/>
    </xf>
    <xf numFmtId="0" fontId="9" fillId="4" borderId="4" xfId="0" applyFont="1" applyFill="1" applyBorder="1" applyAlignment="1">
      <alignment/>
    </xf>
    <xf numFmtId="4" fontId="0" fillId="0" borderId="4" xfId="0" applyNumberFormat="1" applyBorder="1" applyAlignment="1">
      <alignment/>
    </xf>
    <xf numFmtId="0" fontId="2" fillId="2" borderId="30" xfId="0" applyFont="1" applyFill="1" applyBorder="1" applyAlignment="1">
      <alignment wrapText="1"/>
    </xf>
    <xf numFmtId="0" fontId="0" fillId="2" borderId="30" xfId="0" applyFill="1" applyBorder="1" applyAlignment="1">
      <alignment wrapText="1"/>
    </xf>
    <xf numFmtId="3" fontId="0" fillId="2" borderId="30" xfId="0" applyNumberFormat="1" applyFill="1" applyBorder="1" applyAlignment="1">
      <alignment wrapText="1"/>
    </xf>
    <xf numFmtId="3" fontId="2" fillId="2" borderId="31" xfId="0" applyNumberFormat="1" applyFont="1" applyFill="1" applyBorder="1" applyAlignment="1">
      <alignment wrapText="1"/>
    </xf>
    <xf numFmtId="0" fontId="0" fillId="0" borderId="30" xfId="0" applyBorder="1" applyAlignment="1">
      <alignment/>
    </xf>
    <xf numFmtId="3" fontId="6" fillId="0" borderId="0" xfId="0" applyNumberFormat="1" applyFont="1" applyAlignment="1">
      <alignment wrapText="1"/>
    </xf>
    <xf numFmtId="3" fontId="6" fillId="0" borderId="0" xfId="0" applyNumberFormat="1" applyFont="1" applyBorder="1" applyAlignment="1">
      <alignment wrapText="1"/>
    </xf>
    <xf numFmtId="3" fontId="6" fillId="0" borderId="0" xfId="0" applyNumberFormat="1" applyFont="1" applyFill="1" applyBorder="1" applyAlignment="1">
      <alignment wrapText="1"/>
    </xf>
    <xf numFmtId="3" fontId="6" fillId="0" borderId="0" xfId="0" applyNumberFormat="1" applyFont="1" applyFill="1" applyAlignment="1">
      <alignment wrapText="1"/>
    </xf>
    <xf numFmtId="0" fontId="6" fillId="0" borderId="0" xfId="0" applyFont="1" applyAlignment="1">
      <alignment/>
    </xf>
    <xf numFmtId="0" fontId="2" fillId="0" borderId="0"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3" fontId="9" fillId="0" borderId="0" xfId="0" applyNumberFormat="1" applyFont="1" applyFill="1" applyAlignment="1" applyProtection="1">
      <alignment/>
      <protection locked="0"/>
    </xf>
    <xf numFmtId="0" fontId="0" fillId="0" borderId="1" xfId="0" applyBorder="1" applyAlignment="1">
      <alignment wrapText="1"/>
    </xf>
    <xf numFmtId="3" fontId="2" fillId="5" borderId="2"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right" wrapText="1"/>
    </xf>
    <xf numFmtId="0" fontId="0" fillId="0" borderId="0" xfId="0" applyAlignment="1">
      <alignment horizontal="right" wrapText="1"/>
    </xf>
    <xf numFmtId="3" fontId="0" fillId="0" borderId="7" xfId="0" applyNumberFormat="1" applyFill="1" applyBorder="1" applyAlignment="1">
      <alignment wrapText="1"/>
    </xf>
    <xf numFmtId="0" fontId="0" fillId="0" borderId="7" xfId="0" applyFont="1" applyFill="1" applyBorder="1" applyAlignment="1">
      <alignment wrapText="1"/>
    </xf>
    <xf numFmtId="3" fontId="9" fillId="0" borderId="7" xfId="0" applyNumberFormat="1" applyFont="1" applyFill="1" applyBorder="1" applyAlignment="1">
      <alignment wrapText="1"/>
    </xf>
    <xf numFmtId="0" fontId="9" fillId="0" borderId="7" xfId="0" applyFont="1" applyFill="1" applyBorder="1" applyAlignment="1">
      <alignment wrapText="1"/>
    </xf>
    <xf numFmtId="0" fontId="0" fillId="0" borderId="7" xfId="0" applyFill="1" applyBorder="1" applyAlignment="1">
      <alignment wrapText="1"/>
    </xf>
    <xf numFmtId="3" fontId="0" fillId="0" borderId="7" xfId="0" applyNumberFormat="1" applyFont="1" applyFill="1" applyBorder="1" applyAlignment="1">
      <alignment wrapText="1"/>
    </xf>
    <xf numFmtId="3" fontId="9" fillId="0" borderId="7" xfId="0" applyNumberFormat="1" applyFont="1" applyFill="1" applyBorder="1" applyAlignment="1">
      <alignment wrapText="1"/>
    </xf>
    <xf numFmtId="3" fontId="9" fillId="0" borderId="0" xfId="0" applyNumberFormat="1" applyFont="1" applyFill="1" applyBorder="1" applyAlignment="1">
      <alignment wrapText="1"/>
    </xf>
    <xf numFmtId="0" fontId="9" fillId="0" borderId="0" xfId="0" applyFont="1" applyFill="1" applyBorder="1" applyAlignment="1">
      <alignment wrapText="1"/>
    </xf>
    <xf numFmtId="3" fontId="6" fillId="0" borderId="1" xfId="0" applyNumberFormat="1" applyFont="1" applyBorder="1" applyAlignment="1">
      <alignment horizontal="left"/>
    </xf>
    <xf numFmtId="9" fontId="0" fillId="0" borderId="0" xfId="0" applyNumberFormat="1" applyAlignment="1">
      <alignment/>
    </xf>
    <xf numFmtId="3" fontId="2" fillId="0" borderId="0" xfId="0" applyNumberFormat="1" applyFont="1" applyAlignment="1">
      <alignment horizontal="center" vertical="center" wrapText="1"/>
    </xf>
    <xf numFmtId="3" fontId="0" fillId="0" borderId="0" xfId="0" applyNumberFormat="1" applyAlignment="1">
      <alignment horizontal="right" vertical="center" wrapText="1"/>
    </xf>
    <xf numFmtId="10" fontId="9" fillId="4" borderId="4" xfId="0" applyNumberFormat="1" applyFont="1" applyFill="1" applyBorder="1" applyAlignment="1">
      <alignment horizontal="right"/>
    </xf>
    <xf numFmtId="3" fontId="5" fillId="5" borderId="32" xfId="0" applyNumberFormat="1" applyFont="1" applyFill="1" applyBorder="1" applyAlignment="1">
      <alignment wrapText="1"/>
    </xf>
    <xf numFmtId="0" fontId="0" fillId="5" borderId="32" xfId="0" applyFont="1" applyFill="1" applyBorder="1" applyAlignment="1">
      <alignment wrapText="1"/>
    </xf>
    <xf numFmtId="0" fontId="5" fillId="5" borderId="33" xfId="0" applyFont="1" applyFill="1" applyBorder="1" applyAlignment="1">
      <alignment wrapText="1"/>
    </xf>
    <xf numFmtId="3" fontId="0" fillId="5" borderId="32" xfId="0" applyNumberFormat="1" applyFill="1" applyBorder="1" applyAlignment="1">
      <alignment wrapText="1"/>
    </xf>
    <xf numFmtId="0" fontId="0" fillId="5" borderId="33" xfId="0" applyFill="1" applyBorder="1" applyAlignment="1">
      <alignment wrapText="1"/>
    </xf>
    <xf numFmtId="0" fontId="0" fillId="5" borderId="32" xfId="0" applyFill="1" applyBorder="1" applyAlignment="1">
      <alignment wrapText="1"/>
    </xf>
    <xf numFmtId="3" fontId="0" fillId="5" borderId="34" xfId="0" applyNumberFormat="1" applyFill="1" applyBorder="1" applyAlignment="1">
      <alignment wrapText="1"/>
    </xf>
    <xf numFmtId="0" fontId="0" fillId="5" borderId="34" xfId="0" applyFill="1" applyBorder="1" applyAlignment="1">
      <alignment wrapText="1"/>
    </xf>
    <xf numFmtId="0" fontId="0" fillId="5" borderId="35" xfId="0" applyFill="1" applyBorder="1" applyAlignment="1">
      <alignment wrapText="1"/>
    </xf>
    <xf numFmtId="0" fontId="0" fillId="6" borderId="0" xfId="0" applyFill="1" applyAlignment="1">
      <alignment wrapText="1"/>
    </xf>
    <xf numFmtId="3" fontId="2" fillId="0" borderId="0" xfId="0" applyNumberFormat="1" applyFont="1" applyFill="1" applyBorder="1" applyAlignment="1">
      <alignment horizontal="center" vertical="center" wrapText="1"/>
    </xf>
    <xf numFmtId="0" fontId="22" fillId="7" borderId="0" xfId="0" applyFont="1" applyFill="1" applyAlignment="1" applyProtection="1">
      <alignment/>
      <protection locked="0"/>
    </xf>
    <xf numFmtId="3" fontId="2" fillId="7" borderId="0" xfId="0" applyNumberFormat="1" applyFont="1" applyFill="1" applyBorder="1" applyAlignment="1">
      <alignment horizontal="center" vertical="center" wrapText="1"/>
    </xf>
    <xf numFmtId="3" fontId="0" fillId="7" borderId="0" xfId="0" applyNumberFormat="1" applyFill="1" applyAlignment="1">
      <alignment horizontal="right" wrapText="1"/>
    </xf>
    <xf numFmtId="3" fontId="0" fillId="7" borderId="0" xfId="0" applyNumberFormat="1" applyFill="1" applyAlignment="1">
      <alignment wrapText="1"/>
    </xf>
    <xf numFmtId="0" fontId="0" fillId="7" borderId="0" xfId="0" applyFill="1" applyAlignment="1">
      <alignment/>
    </xf>
    <xf numFmtId="0" fontId="0" fillId="7" borderId="0" xfId="0" applyFill="1" applyAlignment="1">
      <alignment wrapText="1"/>
    </xf>
    <xf numFmtId="3" fontId="0" fillId="7" borderId="0" xfId="0" applyNumberFormat="1" applyFill="1" applyAlignment="1">
      <alignment horizontal="right" vertical="center" wrapText="1"/>
    </xf>
    <xf numFmtId="0" fontId="2" fillId="7" borderId="0" xfId="0" applyFont="1" applyFill="1" applyBorder="1" applyAlignment="1">
      <alignment horizontal="center" vertical="center" wrapText="1"/>
    </xf>
    <xf numFmtId="0" fontId="1" fillId="0" borderId="2" xfId="0" applyFont="1" applyBorder="1" applyAlignment="1">
      <alignment horizontal="center" vertical="center" wrapText="1"/>
    </xf>
    <xf numFmtId="0" fontId="12" fillId="0" borderId="0" xfId="0" applyFont="1" applyFill="1" applyAlignment="1" applyProtection="1">
      <alignment/>
      <protection locked="0"/>
    </xf>
    <xf numFmtId="0" fontId="27" fillId="0" borderId="2" xfId="0" applyFont="1" applyFill="1" applyBorder="1" applyAlignment="1" applyProtection="1">
      <alignment horizontal="center" vertical="center"/>
      <protection locked="0"/>
    </xf>
    <xf numFmtId="0" fontId="26" fillId="0" borderId="0" xfId="0" applyFont="1" applyAlignment="1">
      <alignment/>
    </xf>
    <xf numFmtId="3" fontId="0" fillId="0" borderId="28" xfId="0" applyNumberFormat="1" applyBorder="1" applyAlignment="1">
      <alignment wrapText="1"/>
    </xf>
    <xf numFmtId="4" fontId="0" fillId="0" borderId="28" xfId="0" applyNumberFormat="1" applyBorder="1" applyAlignment="1">
      <alignment wrapText="1"/>
    </xf>
    <xf numFmtId="4" fontId="0" fillId="0" borderId="4" xfId="0" applyNumberFormat="1" applyFill="1" applyBorder="1" applyAlignment="1">
      <alignment wrapText="1"/>
    </xf>
    <xf numFmtId="0" fontId="2" fillId="8" borderId="0" xfId="0" applyFont="1" applyFill="1" applyBorder="1" applyAlignment="1">
      <alignment wrapText="1"/>
    </xf>
    <xf numFmtId="3" fontId="2" fillId="8" borderId="0" xfId="0" applyNumberFormat="1" applyFont="1" applyFill="1" applyBorder="1" applyAlignment="1">
      <alignment wrapText="1"/>
    </xf>
    <xf numFmtId="0" fontId="0" fillId="0" borderId="5" xfId="0" applyFont="1" applyBorder="1" applyAlignment="1">
      <alignment/>
    </xf>
    <xf numFmtId="0" fontId="0" fillId="0" borderId="4" xfId="0" applyFill="1" applyBorder="1" applyAlignment="1">
      <alignment/>
    </xf>
    <xf numFmtId="0" fontId="0" fillId="0" borderId="4" xfId="0" applyBorder="1" applyAlignment="1">
      <alignment horizontal="center" wrapText="1"/>
    </xf>
    <xf numFmtId="9" fontId="0" fillId="0" borderId="4" xfId="0" applyNumberFormat="1" applyFill="1" applyBorder="1" applyAlignment="1">
      <alignment wrapText="1"/>
    </xf>
    <xf numFmtId="9" fontId="0" fillId="0" borderId="30" xfId="0" applyNumberFormat="1" applyBorder="1" applyAlignment="1">
      <alignment/>
    </xf>
    <xf numFmtId="0" fontId="0" fillId="3" borderId="0" xfId="0" applyFill="1" applyAlignment="1">
      <alignment/>
    </xf>
    <xf numFmtId="0" fontId="3" fillId="3" borderId="36" xfId="0" applyFont="1" applyFill="1" applyBorder="1" applyAlignment="1">
      <alignment wrapText="1"/>
    </xf>
    <xf numFmtId="0" fontId="5" fillId="3" borderId="36" xfId="0" applyFont="1" applyFill="1" applyBorder="1" applyAlignment="1">
      <alignment wrapText="1"/>
    </xf>
    <xf numFmtId="3" fontId="5" fillId="3" borderId="36" xfId="0" applyNumberFormat="1" applyFont="1" applyFill="1" applyBorder="1" applyAlignment="1">
      <alignment wrapText="1"/>
    </xf>
    <xf numFmtId="3" fontId="3" fillId="3" borderId="36" xfId="0" applyNumberFormat="1" applyFont="1" applyFill="1" applyBorder="1" applyAlignment="1">
      <alignment wrapText="1"/>
    </xf>
    <xf numFmtId="0" fontId="9" fillId="4" borderId="28" xfId="0" applyFont="1" applyFill="1" applyBorder="1" applyAlignment="1">
      <alignment horizontal="right"/>
    </xf>
    <xf numFmtId="9" fontId="9" fillId="4" borderId="28" xfId="0" applyNumberFormat="1" applyFont="1" applyFill="1" applyBorder="1" applyAlignment="1">
      <alignment horizontal="right"/>
    </xf>
    <xf numFmtId="4" fontId="9" fillId="4" borderId="28" xfId="0" applyNumberFormat="1" applyFont="1" applyFill="1" applyBorder="1" applyAlignment="1" applyProtection="1">
      <alignment horizontal="right"/>
      <protection locked="0"/>
    </xf>
    <xf numFmtId="3" fontId="9" fillId="4" borderId="16" xfId="0" applyNumberFormat="1" applyFont="1" applyFill="1" applyBorder="1" applyAlignment="1" applyProtection="1">
      <alignment horizontal="right"/>
      <protection locked="0"/>
    </xf>
    <xf numFmtId="3" fontId="9" fillId="4" borderId="4" xfId="0" applyNumberFormat="1" applyFont="1" applyFill="1" applyBorder="1" applyAlignment="1" applyProtection="1">
      <alignment horizontal="right"/>
      <protection locked="0"/>
    </xf>
    <xf numFmtId="10" fontId="9" fillId="4" borderId="4" xfId="0" applyNumberFormat="1" applyFont="1" applyFill="1" applyBorder="1" applyAlignment="1" applyProtection="1">
      <alignment horizontal="right"/>
      <protection locked="0"/>
    </xf>
    <xf numFmtId="10" fontId="9" fillId="4" borderId="5" xfId="0" applyNumberFormat="1" applyFont="1" applyFill="1" applyBorder="1" applyAlignment="1">
      <alignment horizontal="right"/>
    </xf>
    <xf numFmtId="10" fontId="9" fillId="4" borderId="13" xfId="0" applyNumberFormat="1" applyFont="1" applyFill="1" applyBorder="1" applyAlignment="1" applyProtection="1">
      <alignment horizontal="right"/>
      <protection locked="0"/>
    </xf>
    <xf numFmtId="0" fontId="0" fillId="0" borderId="28" xfId="0" applyBorder="1" applyAlignment="1" quotePrefix="1">
      <alignment horizontal="center" vertical="center"/>
    </xf>
    <xf numFmtId="0" fontId="0" fillId="4" borderId="28" xfId="0" applyFill="1" applyBorder="1" applyAlignment="1" quotePrefix="1">
      <alignment horizontal="center" vertical="center"/>
    </xf>
    <xf numFmtId="3" fontId="0" fillId="0" borderId="4" xfId="0" applyNumberFormat="1" applyFill="1" applyBorder="1" applyAlignment="1" quotePrefix="1">
      <alignment horizontal="center" vertical="center" wrapText="1"/>
    </xf>
    <xf numFmtId="0" fontId="30" fillId="0" borderId="5" xfId="0" applyFont="1" applyBorder="1" applyAlignment="1">
      <alignment/>
    </xf>
    <xf numFmtId="3" fontId="30" fillId="0" borderId="5" xfId="0" applyNumberFormat="1" applyFont="1" applyFill="1" applyBorder="1" applyAlignment="1">
      <alignment wrapText="1"/>
    </xf>
    <xf numFmtId="0" fontId="30" fillId="0" borderId="37" xfId="0" applyFont="1" applyBorder="1" applyAlignment="1">
      <alignment/>
    </xf>
    <xf numFmtId="0" fontId="31" fillId="0" borderId="37" xfId="0" applyFont="1" applyBorder="1" applyAlignment="1">
      <alignment wrapText="1"/>
    </xf>
    <xf numFmtId="3" fontId="31" fillId="0" borderId="37" xfId="0" applyNumberFormat="1" applyFont="1" applyBorder="1" applyAlignment="1">
      <alignment wrapText="1"/>
    </xf>
    <xf numFmtId="3" fontId="30" fillId="0" borderId="37" xfId="0" applyNumberFormat="1" applyFont="1" applyFill="1" applyBorder="1" applyAlignment="1">
      <alignment wrapText="1"/>
    </xf>
    <xf numFmtId="4" fontId="0" fillId="0" borderId="0" xfId="0" applyNumberFormat="1" applyAlignment="1">
      <alignment/>
    </xf>
    <xf numFmtId="0" fontId="28" fillId="0" borderId="0" xfId="0" applyFont="1" applyAlignment="1">
      <alignment vertical="center"/>
    </xf>
    <xf numFmtId="0" fontId="10" fillId="0" borderId="0" xfId="0" applyFont="1" applyAlignment="1">
      <alignment wrapText="1"/>
    </xf>
    <xf numFmtId="0" fontId="2" fillId="0" borderId="38" xfId="0" applyFont="1" applyBorder="1" applyAlignment="1">
      <alignment horizontal="center"/>
    </xf>
    <xf numFmtId="0" fontId="2" fillId="0" borderId="0" xfId="0" applyFont="1" applyAlignment="1">
      <alignment/>
    </xf>
    <xf numFmtId="3" fontId="2" fillId="0" borderId="0" xfId="0" applyNumberFormat="1" applyFont="1" applyAlignment="1">
      <alignment/>
    </xf>
    <xf numFmtId="0" fontId="10" fillId="0" borderId="0" xfId="0" applyFont="1" applyAlignment="1">
      <alignment/>
    </xf>
    <xf numFmtId="170" fontId="0" fillId="0" borderId="28" xfId="0" applyNumberFormat="1" applyFont="1" applyBorder="1" applyAlignment="1">
      <alignment/>
    </xf>
    <xf numFmtId="4" fontId="0" fillId="0" borderId="0" xfId="0" applyNumberFormat="1" applyFont="1" applyBorder="1" applyAlignment="1">
      <alignment/>
    </xf>
    <xf numFmtId="4" fontId="0" fillId="0" borderId="28" xfId="0" applyNumberFormat="1" applyBorder="1" applyAlignment="1">
      <alignment/>
    </xf>
    <xf numFmtId="4" fontId="2" fillId="0" borderId="0" xfId="0" applyNumberFormat="1" applyFont="1" applyAlignment="1">
      <alignment/>
    </xf>
    <xf numFmtId="0" fontId="34" fillId="0" borderId="28" xfId="0" applyFont="1" applyBorder="1" applyAlignment="1">
      <alignment/>
    </xf>
    <xf numFmtId="2" fontId="34" fillId="0" borderId="28" xfId="0" applyNumberFormat="1" applyFont="1" applyBorder="1" applyAlignment="1">
      <alignment horizontal="right"/>
    </xf>
    <xf numFmtId="0" fontId="34" fillId="0" borderId="38" xfId="0" applyFont="1" applyBorder="1" applyAlignment="1">
      <alignment/>
    </xf>
    <xf numFmtId="0" fontId="0" fillId="0" borderId="0" xfId="0" applyAlignment="1">
      <alignment horizontal="right"/>
    </xf>
    <xf numFmtId="0" fontId="35" fillId="0" borderId="39" xfId="0" applyFont="1" applyFill="1" applyBorder="1" applyAlignment="1">
      <alignment/>
    </xf>
    <xf numFmtId="4" fontId="35" fillId="0" borderId="39" xfId="0" applyNumberFormat="1" applyFont="1" applyBorder="1" applyAlignment="1">
      <alignment/>
    </xf>
    <xf numFmtId="0" fontId="35" fillId="0" borderId="28" xfId="0" applyFont="1" applyFill="1" applyBorder="1" applyAlignment="1">
      <alignment/>
    </xf>
    <xf numFmtId="4" fontId="35" fillId="0" borderId="28" xfId="0" applyNumberFormat="1" applyFont="1" applyBorder="1" applyAlignment="1">
      <alignment/>
    </xf>
    <xf numFmtId="0" fontId="26" fillId="0" borderId="0" xfId="0" applyFont="1" applyAlignment="1">
      <alignment vertical="center"/>
    </xf>
    <xf numFmtId="3" fontId="2" fillId="0" borderId="2" xfId="0" applyNumberFormat="1" applyFont="1" applyFill="1" applyBorder="1" applyAlignment="1">
      <alignment horizontal="center" vertical="center" wrapText="1"/>
    </xf>
    <xf numFmtId="0" fontId="6" fillId="0" borderId="28" xfId="0" applyFont="1" applyBorder="1" applyAlignment="1">
      <alignment/>
    </xf>
    <xf numFmtId="3" fontId="0" fillId="0" borderId="28" xfId="0" applyNumberFormat="1" applyBorder="1" applyAlignment="1">
      <alignment/>
    </xf>
    <xf numFmtId="3" fontId="0" fillId="9" borderId="28" xfId="0" applyNumberFormat="1" applyFill="1" applyBorder="1" applyAlignment="1">
      <alignment/>
    </xf>
    <xf numFmtId="0" fontId="0" fillId="0" borderId="40" xfId="0" applyBorder="1" applyAlignment="1">
      <alignment wrapText="1"/>
    </xf>
    <xf numFmtId="0" fontId="3" fillId="0" borderId="28" xfId="0" applyFont="1" applyBorder="1" applyAlignment="1">
      <alignment/>
    </xf>
    <xf numFmtId="3" fontId="2" fillId="0" borderId="28" xfId="0" applyNumberFormat="1" applyFont="1" applyBorder="1" applyAlignment="1">
      <alignment/>
    </xf>
    <xf numFmtId="3" fontId="2" fillId="9" borderId="28" xfId="0" applyNumberFormat="1" applyFont="1" applyFill="1" applyBorder="1" applyAlignment="1">
      <alignment/>
    </xf>
    <xf numFmtId="0" fontId="2" fillId="0" borderId="40" xfId="0" applyFont="1" applyBorder="1" applyAlignment="1">
      <alignment wrapText="1"/>
    </xf>
    <xf numFmtId="3" fontId="0" fillId="9" borderId="0" xfId="0" applyNumberFormat="1" applyFill="1" applyAlignment="1">
      <alignment/>
    </xf>
    <xf numFmtId="0" fontId="2" fillId="0" borderId="0" xfId="0" applyFont="1" applyFill="1" applyBorder="1" applyAlignment="1">
      <alignment/>
    </xf>
    <xf numFmtId="2" fontId="0" fillId="0" borderId="28" xfId="0" applyNumberFormat="1" applyBorder="1" applyAlignment="1">
      <alignment/>
    </xf>
    <xf numFmtId="4" fontId="0" fillId="9" borderId="28" xfId="0" applyNumberFormat="1" applyFill="1" applyBorder="1" applyAlignment="1">
      <alignment/>
    </xf>
    <xf numFmtId="8" fontId="0" fillId="0" borderId="0" xfId="0" applyNumberFormat="1" applyAlignment="1">
      <alignment/>
    </xf>
    <xf numFmtId="0" fontId="2" fillId="0" borderId="41" xfId="0" applyFont="1" applyBorder="1" applyAlignment="1">
      <alignment wrapText="1"/>
    </xf>
    <xf numFmtId="0" fontId="2" fillId="0" borderId="33" xfId="0" applyFont="1" applyBorder="1" applyAlignment="1">
      <alignment wrapText="1"/>
    </xf>
    <xf numFmtId="0" fontId="2" fillId="0" borderId="33" xfId="0" applyFont="1" applyBorder="1" applyAlignment="1">
      <alignment/>
    </xf>
    <xf numFmtId="3" fontId="2" fillId="0" borderId="33" xfId="0" applyNumberFormat="1" applyFont="1" applyBorder="1" applyAlignment="1">
      <alignment/>
    </xf>
    <xf numFmtId="3" fontId="2" fillId="9" borderId="33" xfId="0" applyNumberFormat="1" applyFont="1" applyFill="1" applyBorder="1" applyAlignment="1">
      <alignment/>
    </xf>
    <xf numFmtId="0" fontId="2" fillId="0" borderId="35" xfId="0" applyFont="1" applyBorder="1" applyAlignment="1">
      <alignment/>
    </xf>
    <xf numFmtId="0" fontId="0" fillId="0" borderId="35" xfId="0" applyBorder="1" applyAlignment="1">
      <alignment/>
    </xf>
    <xf numFmtId="0" fontId="0" fillId="0" borderId="41" xfId="0" applyBorder="1" applyAlignment="1">
      <alignment wrapText="1"/>
    </xf>
    <xf numFmtId="0" fontId="0" fillId="0" borderId="33" xfId="0" applyBorder="1" applyAlignment="1">
      <alignment wrapText="1"/>
    </xf>
    <xf numFmtId="0" fontId="0" fillId="0" borderId="33" xfId="0" applyBorder="1" applyAlignment="1">
      <alignment/>
    </xf>
    <xf numFmtId="3" fontId="0" fillId="0" borderId="33" xfId="0" applyNumberFormat="1" applyBorder="1" applyAlignment="1">
      <alignment/>
    </xf>
    <xf numFmtId="3" fontId="0" fillId="9" borderId="33" xfId="0" applyNumberFormat="1" applyFill="1" applyBorder="1" applyAlignment="1">
      <alignment/>
    </xf>
    <xf numFmtId="38" fontId="2" fillId="0" borderId="28" xfId="0" applyNumberFormat="1" applyFont="1" applyBorder="1" applyAlignment="1">
      <alignment/>
    </xf>
    <xf numFmtId="3" fontId="0" fillId="0" borderId="42" xfId="0" applyNumberFormat="1" applyBorder="1" applyAlignment="1">
      <alignment/>
    </xf>
    <xf numFmtId="0" fontId="0" fillId="0" borderId="0" xfId="0" applyBorder="1" applyAlignment="1">
      <alignment/>
    </xf>
    <xf numFmtId="8" fontId="0" fillId="0" borderId="43" xfId="0" applyNumberFormat="1" applyBorder="1" applyAlignment="1">
      <alignment/>
    </xf>
    <xf numFmtId="8" fontId="0" fillId="0" borderId="43" xfId="0" applyNumberFormat="1" applyBorder="1" applyAlignment="1">
      <alignment wrapText="1"/>
    </xf>
    <xf numFmtId="0" fontId="2" fillId="0" borderId="41" xfId="0" applyFont="1" applyBorder="1" applyAlignment="1">
      <alignment/>
    </xf>
    <xf numFmtId="3" fontId="0" fillId="0" borderId="43" xfId="0" applyNumberFormat="1" applyBorder="1" applyAlignment="1">
      <alignment/>
    </xf>
    <xf numFmtId="0" fontId="0" fillId="0" borderId="0" xfId="0" applyFill="1" applyBorder="1" applyAlignment="1">
      <alignment/>
    </xf>
    <xf numFmtId="2" fontId="3" fillId="0" borderId="28" xfId="0" applyNumberFormat="1" applyFont="1" applyBorder="1" applyAlignment="1">
      <alignment/>
    </xf>
    <xf numFmtId="4" fontId="3" fillId="0" borderId="28" xfId="0" applyNumberFormat="1" applyFont="1" applyBorder="1" applyAlignment="1">
      <alignment/>
    </xf>
    <xf numFmtId="38" fontId="2" fillId="9" borderId="28" xfId="0" applyNumberFormat="1" applyFont="1" applyFill="1" applyBorder="1" applyAlignment="1">
      <alignment/>
    </xf>
    <xf numFmtId="8" fontId="2" fillId="0" borderId="43" xfId="0" applyNumberFormat="1" applyFont="1" applyBorder="1" applyAlignment="1">
      <alignment/>
    </xf>
    <xf numFmtId="0" fontId="0" fillId="0" borderId="0" xfId="0" applyAlignment="1">
      <alignment vertical="center" wrapText="1"/>
    </xf>
    <xf numFmtId="40" fontId="4" fillId="0" borderId="0" xfId="0" applyNumberFormat="1" applyFont="1" applyAlignment="1">
      <alignment/>
    </xf>
    <xf numFmtId="3" fontId="0" fillId="9" borderId="28" xfId="0" applyNumberFormat="1" applyFill="1" applyBorder="1" applyAlignment="1">
      <alignment wrapText="1"/>
    </xf>
    <xf numFmtId="0" fontId="2" fillId="0" borderId="0" xfId="0" applyFont="1" applyFill="1" applyBorder="1" applyAlignment="1">
      <alignment/>
    </xf>
    <xf numFmtId="2" fontId="0" fillId="0" borderId="28" xfId="0" applyNumberFormat="1" applyBorder="1" applyAlignment="1">
      <alignment wrapText="1"/>
    </xf>
    <xf numFmtId="4" fontId="0" fillId="9" borderId="28" xfId="0" applyNumberFormat="1" applyFill="1" applyBorder="1" applyAlignment="1">
      <alignment wrapText="1"/>
    </xf>
    <xf numFmtId="8" fontId="0" fillId="0" borderId="35" xfId="0" applyNumberFormat="1" applyBorder="1" applyAlignment="1">
      <alignment/>
    </xf>
    <xf numFmtId="0" fontId="3" fillId="0" borderId="28" xfId="0" applyFont="1" applyBorder="1" applyAlignment="1">
      <alignment wrapText="1"/>
    </xf>
    <xf numFmtId="0" fontId="2" fillId="0" borderId="28" xfId="0" applyFont="1" applyBorder="1" applyAlignment="1">
      <alignment wrapText="1"/>
    </xf>
    <xf numFmtId="3" fontId="2" fillId="0" borderId="28" xfId="0" applyNumberFormat="1" applyFont="1" applyBorder="1" applyAlignment="1">
      <alignment wrapText="1"/>
    </xf>
    <xf numFmtId="3" fontId="2" fillId="9" borderId="28" xfId="0" applyNumberFormat="1" applyFont="1" applyFill="1" applyBorder="1" applyAlignment="1">
      <alignment wrapText="1"/>
    </xf>
    <xf numFmtId="3" fontId="0" fillId="9" borderId="0" xfId="0" applyNumberFormat="1" applyFill="1" applyAlignment="1">
      <alignment wrapText="1"/>
    </xf>
    <xf numFmtId="3" fontId="2" fillId="0" borderId="33" xfId="0" applyNumberFormat="1" applyFont="1" applyBorder="1" applyAlignment="1">
      <alignment wrapText="1"/>
    </xf>
    <xf numFmtId="3" fontId="2" fillId="9" borderId="33" xfId="0" applyNumberFormat="1" applyFont="1" applyFill="1" applyBorder="1" applyAlignment="1">
      <alignment wrapText="1"/>
    </xf>
    <xf numFmtId="3" fontId="0" fillId="0" borderId="33" xfId="0" applyNumberFormat="1" applyBorder="1" applyAlignment="1">
      <alignment wrapText="1"/>
    </xf>
    <xf numFmtId="3" fontId="0" fillId="9" borderId="33" xfId="0" applyNumberFormat="1" applyFill="1" applyBorder="1" applyAlignment="1">
      <alignment wrapText="1"/>
    </xf>
    <xf numFmtId="2" fontId="3" fillId="0" borderId="28" xfId="0" applyNumberFormat="1" applyFont="1" applyBorder="1" applyAlignment="1">
      <alignment wrapText="1"/>
    </xf>
    <xf numFmtId="4" fontId="3" fillId="0" borderId="28" xfId="0" applyNumberFormat="1" applyFont="1" applyBorder="1" applyAlignment="1">
      <alignment wrapText="1"/>
    </xf>
    <xf numFmtId="4" fontId="3" fillId="9" borderId="28" xfId="0" applyNumberFormat="1" applyFont="1" applyFill="1" applyBorder="1" applyAlignment="1">
      <alignment wrapText="1"/>
    </xf>
    <xf numFmtId="38" fontId="2" fillId="0" borderId="28" xfId="0" applyNumberFormat="1" applyFont="1" applyBorder="1" applyAlignment="1">
      <alignment wrapText="1"/>
    </xf>
    <xf numFmtId="38" fontId="0" fillId="9" borderId="28" xfId="0" applyNumberFormat="1" applyFill="1" applyBorder="1" applyAlignment="1">
      <alignment/>
    </xf>
    <xf numFmtId="4" fontId="2" fillId="0" borderId="28" xfId="0" applyNumberFormat="1" applyFont="1" applyBorder="1" applyAlignment="1">
      <alignment/>
    </xf>
    <xf numFmtId="0" fontId="2" fillId="0" borderId="23" xfId="0" applyFont="1" applyBorder="1" applyAlignment="1">
      <alignment wrapText="1"/>
    </xf>
    <xf numFmtId="0" fontId="0" fillId="0" borderId="44" xfId="0" applyBorder="1" applyAlignment="1">
      <alignment/>
    </xf>
    <xf numFmtId="0" fontId="0" fillId="0" borderId="23" xfId="0" applyBorder="1" applyAlignment="1">
      <alignment wrapText="1"/>
    </xf>
    <xf numFmtId="4" fontId="0" fillId="0" borderId="0" xfId="0" applyNumberFormat="1" applyBorder="1" applyAlignment="1">
      <alignment/>
    </xf>
    <xf numFmtId="38" fontId="0" fillId="0" borderId="0" xfId="0" applyNumberFormat="1" applyBorder="1" applyAlignment="1">
      <alignment/>
    </xf>
    <xf numFmtId="38" fontId="0" fillId="9" borderId="0" xfId="0" applyNumberFormat="1" applyFill="1" applyBorder="1" applyAlignment="1">
      <alignment/>
    </xf>
    <xf numFmtId="38" fontId="0" fillId="0" borderId="28" xfId="0" applyNumberFormat="1" applyBorder="1" applyAlignment="1">
      <alignment/>
    </xf>
    <xf numFmtId="0" fontId="0" fillId="0" borderId="0" xfId="0" applyAlignment="1">
      <alignment vertical="center"/>
    </xf>
    <xf numFmtId="0" fontId="0" fillId="0" borderId="41" xfId="0" applyBorder="1" applyAlignment="1">
      <alignment/>
    </xf>
    <xf numFmtId="2" fontId="0" fillId="0" borderId="33" xfId="0" applyNumberFormat="1" applyBorder="1" applyAlignment="1">
      <alignment/>
    </xf>
    <xf numFmtId="4" fontId="0" fillId="0" borderId="33" xfId="0" applyNumberFormat="1" applyBorder="1" applyAlignment="1">
      <alignment/>
    </xf>
    <xf numFmtId="4" fontId="0" fillId="9" borderId="33" xfId="0" applyNumberFormat="1" applyFill="1" applyBorder="1" applyAlignment="1">
      <alignment/>
    </xf>
    <xf numFmtId="38" fontId="0" fillId="0" borderId="33" xfId="0" applyNumberFormat="1" applyBorder="1" applyAlignment="1">
      <alignment/>
    </xf>
    <xf numFmtId="38" fontId="0" fillId="9" borderId="33" xfId="0" applyNumberFormat="1" applyFill="1" applyBorder="1" applyAlignment="1">
      <alignment/>
    </xf>
    <xf numFmtId="38" fontId="3" fillId="0" borderId="28" xfId="0" applyNumberFormat="1" applyFont="1" applyBorder="1" applyAlignment="1">
      <alignment/>
    </xf>
    <xf numFmtId="38" fontId="3" fillId="9" borderId="28" xfId="0" applyNumberFormat="1" applyFont="1" applyFill="1" applyBorder="1" applyAlignment="1">
      <alignment/>
    </xf>
    <xf numFmtId="0" fontId="3" fillId="0" borderId="23" xfId="0" applyFont="1" applyBorder="1" applyAlignment="1">
      <alignment wrapText="1"/>
    </xf>
    <xf numFmtId="0" fontId="0" fillId="0" borderId="43" xfId="0" applyBorder="1" applyAlignment="1">
      <alignment/>
    </xf>
    <xf numFmtId="6" fontId="2" fillId="0" borderId="43" xfId="0" applyNumberFormat="1" applyFont="1" applyBorder="1" applyAlignment="1">
      <alignment/>
    </xf>
    <xf numFmtId="3" fontId="0" fillId="9" borderId="28" xfId="0" applyNumberFormat="1" applyFont="1" applyFill="1" applyBorder="1" applyAlignment="1">
      <alignment/>
    </xf>
    <xf numFmtId="0" fontId="4" fillId="0" borderId="40" xfId="0" applyFont="1" applyBorder="1" applyAlignment="1">
      <alignment wrapText="1"/>
    </xf>
    <xf numFmtId="0" fontId="6" fillId="2" borderId="28" xfId="0" applyFont="1" applyFill="1" applyBorder="1" applyAlignment="1">
      <alignment/>
    </xf>
    <xf numFmtId="0" fontId="0" fillId="2" borderId="28" xfId="0" applyFill="1" applyBorder="1" applyAlignment="1">
      <alignment/>
    </xf>
    <xf numFmtId="1" fontId="0" fillId="0" borderId="28" xfId="0" applyNumberFormat="1" applyBorder="1" applyAlignment="1">
      <alignment/>
    </xf>
    <xf numFmtId="1" fontId="0" fillId="0" borderId="0" xfId="0" applyNumberFormat="1" applyAlignment="1">
      <alignment/>
    </xf>
    <xf numFmtId="0" fontId="6" fillId="0" borderId="35" xfId="0" applyFont="1" applyBorder="1" applyAlignment="1">
      <alignment/>
    </xf>
    <xf numFmtId="38" fontId="2" fillId="0" borderId="39" xfId="0" applyNumberFormat="1" applyFont="1" applyBorder="1" applyAlignment="1">
      <alignment/>
    </xf>
    <xf numFmtId="8" fontId="0" fillId="0" borderId="45" xfId="0" applyNumberFormat="1" applyBorder="1" applyAlignment="1">
      <alignment/>
    </xf>
    <xf numFmtId="0" fontId="0" fillId="0" borderId="35" xfId="0" applyBorder="1" applyAlignment="1">
      <alignment/>
    </xf>
    <xf numFmtId="0" fontId="2" fillId="0" borderId="0" xfId="0" applyFont="1" applyFill="1" applyBorder="1" applyAlignment="1">
      <alignment wrapText="1"/>
    </xf>
    <xf numFmtId="8" fontId="0" fillId="0" borderId="0" xfId="0" applyNumberFormat="1" applyAlignment="1">
      <alignment wrapText="1"/>
    </xf>
    <xf numFmtId="0" fontId="2" fillId="0" borderId="35" xfId="0" applyFont="1" applyFill="1" applyBorder="1" applyAlignment="1">
      <alignment wrapText="1"/>
    </xf>
    <xf numFmtId="8" fontId="0" fillId="0" borderId="35" xfId="0" applyNumberFormat="1" applyBorder="1" applyAlignment="1">
      <alignment wrapText="1"/>
    </xf>
    <xf numFmtId="0" fontId="0" fillId="0" borderId="35" xfId="0" applyBorder="1" applyAlignment="1">
      <alignment wrapText="1"/>
    </xf>
    <xf numFmtId="0" fontId="0" fillId="0" borderId="0" xfId="0" applyFill="1" applyBorder="1" applyAlignment="1">
      <alignment wrapText="1"/>
    </xf>
    <xf numFmtId="38" fontId="2" fillId="0" borderId="39" xfId="0" applyNumberFormat="1" applyFont="1" applyBorder="1" applyAlignment="1">
      <alignment wrapText="1"/>
    </xf>
    <xf numFmtId="0" fontId="6" fillId="0" borderId="28" xfId="0" applyFont="1" applyBorder="1" applyAlignment="1">
      <alignment wrapText="1"/>
    </xf>
    <xf numFmtId="38" fontId="6" fillId="0" borderId="28" xfId="0" applyNumberFormat="1" applyFont="1" applyBorder="1" applyAlignment="1">
      <alignment wrapText="1"/>
    </xf>
    <xf numFmtId="38" fontId="6" fillId="9" borderId="28" xfId="0" applyNumberFormat="1" applyFont="1" applyFill="1" applyBorder="1" applyAlignment="1">
      <alignment wrapText="1"/>
    </xf>
    <xf numFmtId="4" fontId="0" fillId="0" borderId="0" xfId="0" applyNumberFormat="1" applyAlignment="1">
      <alignment wrapText="1"/>
    </xf>
    <xf numFmtId="3" fontId="0" fillId="0" borderId="0" xfId="0" applyNumberFormat="1" applyBorder="1" applyAlignment="1">
      <alignment/>
    </xf>
    <xf numFmtId="0" fontId="33" fillId="0" borderId="0" xfId="0" applyFont="1" applyFill="1" applyBorder="1" applyAlignment="1">
      <alignment vertical="center" wrapText="1"/>
    </xf>
    <xf numFmtId="38" fontId="2" fillId="0" borderId="0" xfId="0" applyNumberFormat="1" applyFont="1" applyAlignment="1">
      <alignment vertical="center"/>
    </xf>
    <xf numFmtId="0" fontId="0" fillId="0" borderId="12" xfId="0" applyFont="1" applyBorder="1" applyAlignment="1" quotePrefix="1">
      <alignment wrapText="1"/>
    </xf>
    <xf numFmtId="0" fontId="0" fillId="0" borderId="16" xfId="0" applyFont="1" applyBorder="1" applyAlignment="1">
      <alignment horizontal="center"/>
    </xf>
    <xf numFmtId="10" fontId="9" fillId="4" borderId="9" xfId="0" applyNumberFormat="1" applyFont="1" applyFill="1" applyBorder="1" applyAlignment="1">
      <alignment horizontal="right"/>
    </xf>
    <xf numFmtId="2" fontId="9" fillId="4" borderId="4" xfId="0" applyNumberFormat="1" applyFont="1" applyFill="1" applyBorder="1" applyAlignment="1">
      <alignment horizontal="right"/>
    </xf>
    <xf numFmtId="0" fontId="9" fillId="4" borderId="4" xfId="0" applyFont="1" applyFill="1" applyBorder="1" applyAlignment="1">
      <alignment horizontal="right"/>
    </xf>
    <xf numFmtId="1" fontId="9" fillId="4" borderId="4" xfId="0" applyNumberFormat="1" applyFont="1" applyFill="1" applyBorder="1" applyAlignment="1">
      <alignment horizontal="right"/>
    </xf>
    <xf numFmtId="3" fontId="9" fillId="4" borderId="4" xfId="0" applyNumberFormat="1" applyFont="1" applyFill="1" applyBorder="1" applyAlignment="1">
      <alignment/>
    </xf>
    <xf numFmtId="38" fontId="2" fillId="0" borderId="0" xfId="0" applyNumberFormat="1" applyFont="1" applyBorder="1" applyAlignment="1">
      <alignment/>
    </xf>
    <xf numFmtId="0" fontId="2" fillId="8" borderId="8" xfId="0" applyFont="1" applyFill="1" applyBorder="1" applyAlignment="1">
      <alignment wrapText="1"/>
    </xf>
    <xf numFmtId="3" fontId="2" fillId="8" borderId="8" xfId="0" applyNumberFormat="1" applyFont="1" applyFill="1" applyBorder="1" applyAlignment="1">
      <alignment wrapText="1"/>
    </xf>
    <xf numFmtId="10" fontId="0" fillId="0" borderId="0" xfId="0" applyNumberFormat="1" applyAlignment="1">
      <alignment/>
    </xf>
    <xf numFmtId="0" fontId="0" fillId="0" borderId="46" xfId="0" applyBorder="1" applyAlignment="1">
      <alignment/>
    </xf>
    <xf numFmtId="0" fontId="0" fillId="0" borderId="47" xfId="0" applyBorder="1" applyAlignment="1">
      <alignment/>
    </xf>
    <xf numFmtId="2" fontId="9" fillId="4" borderId="47" xfId="0" applyNumberFormat="1" applyFont="1" applyFill="1" applyBorder="1" applyAlignment="1">
      <alignment/>
    </xf>
    <xf numFmtId="0" fontId="0" fillId="0" borderId="47" xfId="0" applyBorder="1" applyAlignment="1">
      <alignment wrapText="1"/>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0" xfId="0" applyBorder="1" applyAlignment="1">
      <alignment wrapText="1"/>
    </xf>
    <xf numFmtId="0" fontId="0" fillId="0" borderId="51" xfId="0" applyBorder="1" applyAlignment="1">
      <alignment vertical="center" wrapText="1"/>
    </xf>
    <xf numFmtId="0" fontId="0" fillId="0" borderId="52" xfId="0" applyBorder="1" applyAlignment="1">
      <alignment/>
    </xf>
    <xf numFmtId="0" fontId="0" fillId="0" borderId="37" xfId="0" applyBorder="1" applyAlignment="1">
      <alignment/>
    </xf>
    <xf numFmtId="2" fontId="9" fillId="4" borderId="37" xfId="0" applyNumberFormat="1" applyFont="1" applyFill="1" applyBorder="1" applyAlignment="1">
      <alignment/>
    </xf>
    <xf numFmtId="0" fontId="0" fillId="0" borderId="37" xfId="0" applyBorder="1" applyAlignment="1">
      <alignment wrapText="1"/>
    </xf>
    <xf numFmtId="0" fontId="0" fillId="0" borderId="53" xfId="0" applyBorder="1" applyAlignment="1">
      <alignment/>
    </xf>
    <xf numFmtId="0" fontId="26" fillId="0" borderId="0" xfId="0" applyFont="1" applyFill="1" applyBorder="1" applyAlignment="1">
      <alignment/>
    </xf>
    <xf numFmtId="4" fontId="9" fillId="4" borderId="47" xfId="0" applyNumberFormat="1" applyFont="1" applyFill="1" applyBorder="1" applyAlignment="1">
      <alignment/>
    </xf>
    <xf numFmtId="0" fontId="0" fillId="0" borderId="54" xfId="0" applyBorder="1" applyAlignment="1">
      <alignment wrapText="1"/>
    </xf>
    <xf numFmtId="0" fontId="0" fillId="0" borderId="49" xfId="0" applyFont="1" applyBorder="1" applyAlignment="1">
      <alignment/>
    </xf>
    <xf numFmtId="4" fontId="9" fillId="4" borderId="37" xfId="0" applyNumberFormat="1" applyFont="1" applyFill="1" applyBorder="1" applyAlignment="1">
      <alignment/>
    </xf>
    <xf numFmtId="1"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0" xfId="0" applyNumberFormat="1" applyFont="1" applyBorder="1" applyAlignment="1" quotePrefix="1">
      <alignment horizontal="center"/>
    </xf>
    <xf numFmtId="1" fontId="0"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center"/>
    </xf>
    <xf numFmtId="0" fontId="0" fillId="0" borderId="55" xfId="0" applyBorder="1" applyAlignment="1">
      <alignment/>
    </xf>
    <xf numFmtId="0" fontId="0" fillId="0" borderId="49" xfId="0" applyBorder="1" applyAlignment="1">
      <alignment wrapText="1"/>
    </xf>
    <xf numFmtId="0" fontId="0" fillId="0" borderId="56" xfId="0" applyFont="1" applyFill="1" applyBorder="1" applyAlignment="1">
      <alignment/>
    </xf>
    <xf numFmtId="1" fontId="9" fillId="4" borderId="57" xfId="0" applyNumberFormat="1" applyFont="1" applyFill="1" applyBorder="1" applyAlignment="1">
      <alignment horizontal="center"/>
    </xf>
    <xf numFmtId="0" fontId="0" fillId="0" borderId="58" xfId="0" applyFont="1" applyBorder="1" applyAlignment="1">
      <alignment/>
    </xf>
    <xf numFmtId="1" fontId="9" fillId="4" borderId="59" xfId="0" applyNumberFormat="1" applyFont="1" applyFill="1" applyBorder="1" applyAlignment="1">
      <alignment horizontal="center"/>
    </xf>
    <xf numFmtId="0" fontId="0" fillId="0" borderId="58" xfId="0" applyFont="1" applyFill="1" applyBorder="1" applyAlignment="1">
      <alignment/>
    </xf>
    <xf numFmtId="0" fontId="0" fillId="0" borderId="60" xfId="0" applyFont="1" applyBorder="1" applyAlignment="1">
      <alignment/>
    </xf>
    <xf numFmtId="1" fontId="9" fillId="4" borderId="61" xfId="0" applyNumberFormat="1" applyFont="1" applyFill="1" applyBorder="1" applyAlignment="1">
      <alignment horizontal="center"/>
    </xf>
    <xf numFmtId="0" fontId="2" fillId="0" borderId="52" xfId="0" applyFont="1" applyBorder="1" applyAlignment="1">
      <alignment/>
    </xf>
    <xf numFmtId="0" fontId="6" fillId="0" borderId="2" xfId="0" applyFont="1" applyBorder="1" applyAlignment="1">
      <alignment horizontal="center" vertical="center" wrapText="1"/>
    </xf>
    <xf numFmtId="3" fontId="26" fillId="0" borderId="0" xfId="0" applyNumberFormat="1" applyFont="1" applyAlignment="1">
      <alignment wrapText="1"/>
    </xf>
    <xf numFmtId="171" fontId="29" fillId="0" borderId="2" xfId="0" applyNumberFormat="1" applyFont="1" applyBorder="1" applyAlignment="1">
      <alignment wrapText="1"/>
    </xf>
    <xf numFmtId="0" fontId="12" fillId="2" borderId="46" xfId="0" applyFont="1" applyFill="1" applyBorder="1" applyAlignment="1" applyProtection="1">
      <alignment/>
      <protection locked="0"/>
    </xf>
    <xf numFmtId="3" fontId="9" fillId="0" borderId="47" xfId="0" applyNumberFormat="1" applyFont="1" applyFill="1" applyBorder="1" applyAlignment="1" applyProtection="1">
      <alignment horizontal="right"/>
      <protection locked="0"/>
    </xf>
    <xf numFmtId="0" fontId="9" fillId="0" borderId="47" xfId="0" applyFont="1" applyFill="1" applyBorder="1" applyAlignment="1" applyProtection="1">
      <alignment horizontal="right"/>
      <protection locked="0"/>
    </xf>
    <xf numFmtId="3" fontId="0" fillId="0" borderId="47" xfId="0" applyNumberFormat="1" applyBorder="1" applyAlignment="1">
      <alignment horizontal="right" wrapText="1"/>
    </xf>
    <xf numFmtId="9" fontId="0" fillId="0" borderId="47" xfId="0" applyNumberFormat="1" applyBorder="1" applyAlignment="1">
      <alignment wrapText="1"/>
    </xf>
    <xf numFmtId="0" fontId="12" fillId="2" borderId="49" xfId="0" applyFont="1" applyFill="1" applyBorder="1" applyAlignment="1" applyProtection="1">
      <alignment/>
      <protection locked="0"/>
    </xf>
    <xf numFmtId="3" fontId="9" fillId="0" borderId="4" xfId="0" applyNumberFormat="1" applyFont="1" applyFill="1" applyBorder="1" applyAlignment="1" applyProtection="1">
      <alignment horizontal="right"/>
      <protection locked="0"/>
    </xf>
    <xf numFmtId="0" fontId="9" fillId="0" borderId="4" xfId="0" applyFont="1" applyFill="1" applyBorder="1" applyAlignment="1" applyProtection="1">
      <alignment horizontal="right"/>
      <protection locked="0"/>
    </xf>
    <xf numFmtId="3" fontId="0" fillId="0" borderId="4" xfId="0" applyNumberFormat="1" applyBorder="1" applyAlignment="1">
      <alignment horizontal="right" wrapText="1"/>
    </xf>
    <xf numFmtId="9" fontId="0" fillId="0" borderId="4" xfId="0" applyNumberFormat="1" applyBorder="1" applyAlignment="1">
      <alignment wrapText="1"/>
    </xf>
    <xf numFmtId="3" fontId="9" fillId="0" borderId="4" xfId="0" applyNumberFormat="1" applyFont="1" applyFill="1" applyBorder="1" applyAlignment="1" applyProtection="1">
      <alignment/>
      <protection locked="0"/>
    </xf>
    <xf numFmtId="0" fontId="9" fillId="0" borderId="4" xfId="0" applyFont="1" applyFill="1" applyBorder="1" applyAlignment="1" applyProtection="1">
      <alignment/>
      <protection locked="0"/>
    </xf>
    <xf numFmtId="0" fontId="0" fillId="2" borderId="49" xfId="0" applyFill="1" applyBorder="1" applyAlignment="1">
      <alignment wrapText="1"/>
    </xf>
    <xf numFmtId="0" fontId="0" fillId="2" borderId="52" xfId="0" applyFill="1" applyBorder="1" applyAlignment="1">
      <alignment wrapText="1"/>
    </xf>
    <xf numFmtId="3" fontId="0" fillId="0" borderId="37" xfId="0" applyNumberFormat="1" applyBorder="1" applyAlignment="1">
      <alignment horizontal="right" wrapText="1"/>
    </xf>
    <xf numFmtId="0" fontId="12" fillId="2" borderId="46" xfId="0" applyFont="1" applyFill="1" applyBorder="1" applyAlignment="1" applyProtection="1">
      <alignment/>
      <protection locked="0"/>
    </xf>
    <xf numFmtId="3" fontId="9" fillId="0" borderId="47" xfId="0" applyNumberFormat="1" applyFont="1" applyFill="1" applyBorder="1" applyAlignment="1" applyProtection="1">
      <alignment/>
      <protection locked="0"/>
    </xf>
    <xf numFmtId="9" fontId="0" fillId="0" borderId="47" xfId="0" applyNumberFormat="1" applyFont="1" applyBorder="1" applyAlignment="1">
      <alignment wrapText="1"/>
    </xf>
    <xf numFmtId="0" fontId="12" fillId="2" borderId="49" xfId="0" applyFont="1" applyFill="1" applyBorder="1" applyAlignment="1" applyProtection="1">
      <alignment/>
      <protection locked="0"/>
    </xf>
    <xf numFmtId="9" fontId="0" fillId="0" borderId="4" xfId="0" applyNumberFormat="1" applyFont="1" applyBorder="1" applyAlignment="1">
      <alignment wrapText="1"/>
    </xf>
    <xf numFmtId="0" fontId="12" fillId="2" borderId="52" xfId="0" applyFont="1" applyFill="1" applyBorder="1" applyAlignment="1" applyProtection="1">
      <alignment/>
      <protection locked="0"/>
    </xf>
    <xf numFmtId="3" fontId="9" fillId="0" borderId="37" xfId="0" applyNumberFormat="1" applyFont="1" applyFill="1" applyBorder="1" applyAlignment="1" applyProtection="1">
      <alignment/>
      <protection locked="0"/>
    </xf>
    <xf numFmtId="3" fontId="0" fillId="0" borderId="37" xfId="0" applyNumberFormat="1" applyFill="1" applyBorder="1" applyAlignment="1">
      <alignment wrapText="1"/>
    </xf>
    <xf numFmtId="3" fontId="25" fillId="0" borderId="37" xfId="0" applyNumberFormat="1" applyFont="1" applyFill="1" applyBorder="1" applyAlignment="1">
      <alignment horizontal="center" vertical="center" wrapText="1"/>
    </xf>
    <xf numFmtId="0" fontId="0" fillId="0" borderId="7" xfId="0" applyFill="1" applyBorder="1" applyAlignment="1">
      <alignment/>
    </xf>
    <xf numFmtId="0" fontId="0" fillId="0" borderId="7" xfId="0" applyBorder="1" applyAlignment="1">
      <alignment/>
    </xf>
    <xf numFmtId="9" fontId="0" fillId="3" borderId="62" xfId="0" applyNumberFormat="1" applyFill="1" applyBorder="1" applyAlignment="1">
      <alignment wrapText="1"/>
    </xf>
    <xf numFmtId="0" fontId="0" fillId="0" borderId="63" xfId="0" applyBorder="1" applyAlignment="1">
      <alignment wrapText="1"/>
    </xf>
    <xf numFmtId="0" fontId="0" fillId="0" borderId="64" xfId="0" applyBorder="1" applyAlignment="1">
      <alignment wrapText="1"/>
    </xf>
    <xf numFmtId="3" fontId="0" fillId="0" borderId="63" xfId="0" applyNumberFormat="1" applyBorder="1" applyAlignment="1">
      <alignment wrapText="1"/>
    </xf>
    <xf numFmtId="9" fontId="0" fillId="3" borderId="62" xfId="0" applyNumberFormat="1" applyFont="1" applyFill="1" applyBorder="1" applyAlignment="1">
      <alignment wrapText="1"/>
    </xf>
    <xf numFmtId="3" fontId="0" fillId="0" borderId="65" xfId="0" applyNumberFormat="1" applyBorder="1" applyAlignment="1">
      <alignment wrapText="1"/>
    </xf>
    <xf numFmtId="0" fontId="24" fillId="0" borderId="66" xfId="0" applyFont="1" applyBorder="1" applyAlignment="1">
      <alignment horizontal="center" vertical="center" wrapText="1"/>
    </xf>
    <xf numFmtId="0" fontId="22" fillId="5" borderId="67" xfId="0" applyFont="1" applyFill="1" applyBorder="1" applyAlignment="1" applyProtection="1">
      <alignment/>
      <protection locked="0"/>
    </xf>
    <xf numFmtId="0" fontId="12" fillId="2" borderId="68" xfId="0" applyFont="1" applyFill="1" applyBorder="1" applyAlignment="1" applyProtection="1">
      <alignment/>
      <protection locked="0"/>
    </xf>
    <xf numFmtId="3" fontId="9" fillId="0" borderId="0" xfId="0" applyNumberFormat="1" applyFont="1" applyFill="1" applyBorder="1" applyAlignment="1" applyProtection="1">
      <alignment/>
      <protection locked="0"/>
    </xf>
    <xf numFmtId="3" fontId="9" fillId="0" borderId="0" xfId="0" applyNumberFormat="1" applyFont="1" applyFill="1" applyBorder="1" applyAlignment="1" applyProtection="1">
      <alignment/>
      <protection hidden="1" locked="0"/>
    </xf>
    <xf numFmtId="3" fontId="0" fillId="0" borderId="69" xfId="0" applyNumberFormat="1" applyBorder="1" applyAlignment="1">
      <alignment wrapText="1"/>
    </xf>
    <xf numFmtId="3" fontId="0" fillId="0" borderId="70" xfId="0" applyNumberFormat="1" applyBorder="1" applyAlignment="1">
      <alignment wrapText="1"/>
    </xf>
    <xf numFmtId="0" fontId="0" fillId="2" borderId="71" xfId="0" applyFill="1" applyBorder="1" applyAlignment="1">
      <alignment wrapText="1"/>
    </xf>
    <xf numFmtId="0" fontId="22" fillId="5" borderId="72" xfId="0" applyFont="1" applyFill="1" applyBorder="1" applyAlignment="1" applyProtection="1">
      <alignment/>
      <protection locked="0"/>
    </xf>
    <xf numFmtId="0" fontId="6" fillId="6" borderId="73" xfId="0" applyFont="1" applyFill="1" applyBorder="1" applyAlignment="1">
      <alignment wrapText="1"/>
    </xf>
    <xf numFmtId="3" fontId="2" fillId="6" borderId="74" xfId="0" applyNumberFormat="1" applyFont="1" applyFill="1" applyBorder="1" applyAlignment="1">
      <alignment wrapText="1"/>
    </xf>
    <xf numFmtId="9" fontId="2" fillId="6" borderId="74" xfId="0" applyNumberFormat="1" applyFont="1" applyFill="1" applyBorder="1" applyAlignment="1">
      <alignment wrapText="1"/>
    </xf>
    <xf numFmtId="3" fontId="2" fillId="6" borderId="75" xfId="0" applyNumberFormat="1" applyFont="1" applyFill="1" applyBorder="1" applyAlignment="1">
      <alignment wrapText="1"/>
    </xf>
    <xf numFmtId="9" fontId="5" fillId="5" borderId="32" xfId="0" applyNumberFormat="1" applyFont="1" applyFill="1" applyBorder="1" applyAlignment="1">
      <alignment wrapText="1"/>
    </xf>
    <xf numFmtId="9" fontId="0" fillId="5" borderId="32" xfId="0" applyNumberFormat="1" applyFill="1" applyBorder="1" applyAlignment="1">
      <alignment wrapText="1"/>
    </xf>
    <xf numFmtId="3" fontId="9" fillId="0" borderId="0" xfId="0" applyNumberFormat="1" applyFont="1" applyFill="1" applyBorder="1" applyAlignment="1" applyProtection="1">
      <alignment horizontal="right"/>
      <protection locked="0"/>
    </xf>
    <xf numFmtId="3" fontId="0" fillId="0" borderId="76" xfId="0" applyNumberFormat="1" applyBorder="1" applyAlignment="1">
      <alignment wrapText="1"/>
    </xf>
    <xf numFmtId="0" fontId="0" fillId="2" borderId="77" xfId="0" applyFill="1" applyBorder="1" applyAlignment="1">
      <alignment wrapText="1"/>
    </xf>
    <xf numFmtId="3" fontId="0" fillId="0" borderId="64" xfId="0" applyNumberFormat="1" applyFill="1" applyBorder="1" applyAlignment="1">
      <alignment wrapText="1"/>
    </xf>
    <xf numFmtId="3" fontId="9" fillId="0" borderId="64" xfId="0" applyNumberFormat="1" applyFont="1" applyFill="1" applyBorder="1" applyAlignment="1">
      <alignment wrapText="1"/>
    </xf>
    <xf numFmtId="0" fontId="9" fillId="0" borderId="64" xfId="0" applyFont="1" applyFill="1" applyBorder="1" applyAlignment="1">
      <alignment wrapText="1"/>
    </xf>
    <xf numFmtId="3" fontId="0" fillId="0" borderId="64" xfId="0" applyNumberFormat="1" applyBorder="1" applyAlignment="1">
      <alignment wrapText="1"/>
    </xf>
    <xf numFmtId="3" fontId="0" fillId="0" borderId="78" xfId="0" applyNumberFormat="1" applyFill="1" applyBorder="1" applyAlignment="1">
      <alignment wrapText="1"/>
    </xf>
    <xf numFmtId="3" fontId="0" fillId="0" borderId="79" xfId="0" applyNumberFormat="1" applyFill="1" applyBorder="1" applyAlignment="1">
      <alignment wrapText="1"/>
    </xf>
    <xf numFmtId="0" fontId="12" fillId="2" borderId="80" xfId="0" applyFont="1" applyFill="1" applyBorder="1" applyAlignment="1" applyProtection="1">
      <alignment/>
      <protection locked="0"/>
    </xf>
    <xf numFmtId="0" fontId="12" fillId="2" borderId="71" xfId="0" applyFont="1" applyFill="1" applyBorder="1" applyAlignment="1" applyProtection="1">
      <alignment/>
      <protection locked="0"/>
    </xf>
    <xf numFmtId="9" fontId="0" fillId="0" borderId="0" xfId="0" applyNumberFormat="1" applyFill="1" applyBorder="1" applyAlignment="1">
      <alignment wrapText="1"/>
    </xf>
    <xf numFmtId="0" fontId="0" fillId="2" borderId="71" xfId="0" applyFont="1" applyFill="1" applyBorder="1" applyAlignment="1">
      <alignment wrapText="1"/>
    </xf>
    <xf numFmtId="0" fontId="0" fillId="0" borderId="81" xfId="0" applyBorder="1" applyAlignment="1">
      <alignment wrapText="1"/>
    </xf>
    <xf numFmtId="3" fontId="0" fillId="0" borderId="82" xfId="0" applyNumberFormat="1" applyBorder="1" applyAlignment="1">
      <alignment wrapText="1"/>
    </xf>
    <xf numFmtId="4" fontId="0" fillId="0" borderId="82" xfId="0" applyNumberFormat="1" applyBorder="1" applyAlignment="1">
      <alignment wrapText="1"/>
    </xf>
    <xf numFmtId="0" fontId="5" fillId="0" borderId="8" xfId="0" applyFont="1" applyBorder="1" applyAlignment="1">
      <alignment wrapText="1"/>
    </xf>
    <xf numFmtId="3" fontId="9" fillId="0" borderId="47"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9" fillId="0" borderId="37" xfId="0" applyNumberFormat="1" applyFont="1" applyBorder="1" applyAlignment="1">
      <alignment horizontal="right" vertical="center" wrapText="1"/>
    </xf>
    <xf numFmtId="3" fontId="0" fillId="0" borderId="47" xfId="0" applyNumberFormat="1" applyFont="1" applyBorder="1" applyAlignment="1">
      <alignment horizontal="right" vertical="center" wrapText="1"/>
    </xf>
    <xf numFmtId="3" fontId="0" fillId="0" borderId="4" xfId="0" applyNumberFormat="1" applyFont="1" applyBorder="1" applyAlignment="1">
      <alignment horizontal="right" vertical="center" wrapText="1"/>
    </xf>
    <xf numFmtId="3" fontId="9" fillId="0" borderId="37" xfId="0" applyNumberFormat="1" applyFont="1" applyFill="1" applyBorder="1" applyAlignment="1">
      <alignment horizontal="right" vertical="center" wrapText="1"/>
    </xf>
    <xf numFmtId="3" fontId="0" fillId="0" borderId="37" xfId="0" applyNumberFormat="1" applyFont="1" applyBorder="1" applyAlignment="1">
      <alignment horizontal="right" vertical="center" wrapText="1"/>
    </xf>
    <xf numFmtId="3" fontId="0" fillId="0" borderId="47" xfId="0" applyNumberFormat="1" applyFont="1" applyBorder="1" applyAlignment="1">
      <alignment horizontal="right" wrapText="1"/>
    </xf>
    <xf numFmtId="3" fontId="0" fillId="0" borderId="4" xfId="0" applyNumberFormat="1" applyFont="1" applyBorder="1" applyAlignment="1">
      <alignment horizontal="right" wrapText="1"/>
    </xf>
    <xf numFmtId="3" fontId="0" fillId="0" borderId="37" xfId="0" applyNumberFormat="1" applyFont="1" applyBorder="1" applyAlignment="1">
      <alignment horizontal="right" wrapText="1"/>
    </xf>
    <xf numFmtId="3" fontId="0" fillId="0" borderId="37" xfId="0" applyNumberFormat="1" applyFont="1" applyBorder="1" applyAlignment="1">
      <alignment wrapText="1"/>
    </xf>
    <xf numFmtId="3" fontId="0" fillId="0" borderId="0" xfId="0" applyNumberFormat="1" applyFont="1" applyBorder="1" applyAlignment="1">
      <alignment horizontal="right" vertical="center" wrapText="1"/>
    </xf>
    <xf numFmtId="3" fontId="0" fillId="0" borderId="0" xfId="0" applyNumberFormat="1" applyFont="1" applyAlignment="1">
      <alignment horizontal="right" wrapText="1"/>
    </xf>
    <xf numFmtId="3" fontId="0" fillId="7" borderId="0" xfId="0" applyNumberFormat="1" applyFont="1" applyFill="1" applyBorder="1" applyAlignment="1">
      <alignment horizontal="right" vertical="center" wrapText="1"/>
    </xf>
    <xf numFmtId="3" fontId="0" fillId="7" borderId="0" xfId="0" applyNumberFormat="1" applyFont="1" applyFill="1" applyAlignment="1">
      <alignment horizontal="right" wrapText="1"/>
    </xf>
    <xf numFmtId="3" fontId="0" fillId="7" borderId="0" xfId="0" applyNumberFormat="1" applyFont="1" applyFill="1" applyAlignment="1">
      <alignment wrapText="1"/>
    </xf>
    <xf numFmtId="9" fontId="0" fillId="0" borderId="37" xfId="0" applyNumberFormat="1" applyFont="1" applyBorder="1" applyAlignment="1">
      <alignment wrapText="1"/>
    </xf>
    <xf numFmtId="3" fontId="0" fillId="7" borderId="0" xfId="0" applyNumberFormat="1" applyFont="1" applyFill="1" applyAlignment="1">
      <alignment horizontal="right"/>
    </xf>
    <xf numFmtId="0" fontId="0" fillId="7" borderId="0" xfId="0" applyFont="1" applyFill="1" applyAlignment="1">
      <alignment/>
    </xf>
    <xf numFmtId="3" fontId="0" fillId="7" borderId="0" xfId="0" applyNumberFormat="1" applyFont="1" applyFill="1" applyAlignment="1">
      <alignment horizontal="right" vertical="center"/>
    </xf>
    <xf numFmtId="3" fontId="0" fillId="0" borderId="4" xfId="0" applyNumberFormat="1" applyFont="1" applyBorder="1" applyAlignment="1">
      <alignment horizontal="right"/>
    </xf>
    <xf numFmtId="3" fontId="9" fillId="0" borderId="47" xfId="0" applyNumberFormat="1" applyFont="1" applyBorder="1" applyAlignment="1">
      <alignment horizontal="right" wrapText="1"/>
    </xf>
    <xf numFmtId="3" fontId="9" fillId="0" borderId="4" xfId="0" applyNumberFormat="1" applyFont="1" applyBorder="1" applyAlignment="1">
      <alignment horizontal="right" wrapText="1"/>
    </xf>
    <xf numFmtId="3" fontId="9" fillId="0" borderId="47" xfId="0" applyNumberFormat="1" applyFont="1" applyBorder="1" applyAlignment="1">
      <alignment horizontal="right"/>
    </xf>
    <xf numFmtId="3" fontId="9" fillId="0" borderId="4" xfId="0" applyNumberFormat="1" applyFont="1" applyBorder="1" applyAlignment="1">
      <alignment horizontal="right"/>
    </xf>
    <xf numFmtId="0" fontId="2" fillId="3" borderId="2" xfId="0" applyFont="1" applyFill="1" applyBorder="1" applyAlignment="1">
      <alignment horizontal="center" vertical="center" wrapText="1"/>
    </xf>
    <xf numFmtId="3" fontId="0" fillId="3" borderId="48" xfId="0" applyNumberFormat="1" applyFill="1" applyBorder="1" applyAlignment="1">
      <alignment wrapText="1"/>
    </xf>
    <xf numFmtId="3" fontId="0" fillId="3" borderId="50" xfId="0" applyNumberFormat="1" applyFill="1" applyBorder="1" applyAlignment="1">
      <alignment wrapText="1"/>
    </xf>
    <xf numFmtId="3" fontId="0" fillId="3" borderId="48" xfId="0" applyNumberFormat="1" applyFont="1" applyFill="1" applyBorder="1" applyAlignment="1">
      <alignment horizontal="right" vertical="center" wrapText="1"/>
    </xf>
    <xf numFmtId="3" fontId="0" fillId="3" borderId="50" xfId="0" applyNumberFormat="1" applyFont="1" applyFill="1" applyBorder="1" applyAlignment="1">
      <alignment horizontal="right" vertical="center" wrapText="1"/>
    </xf>
    <xf numFmtId="3" fontId="0" fillId="3" borderId="53" xfId="0" applyNumberFormat="1" applyFont="1" applyFill="1" applyBorder="1" applyAlignment="1">
      <alignment horizontal="right" vertical="center" wrapText="1"/>
    </xf>
    <xf numFmtId="0" fontId="2" fillId="3" borderId="2" xfId="0" applyFont="1" applyFill="1" applyBorder="1" applyAlignment="1">
      <alignment wrapText="1"/>
    </xf>
    <xf numFmtId="3" fontId="1" fillId="8" borderId="2" xfId="0" applyNumberFormat="1" applyFont="1" applyFill="1" applyBorder="1" applyAlignment="1">
      <alignment horizontal="center" vertical="center" wrapText="1"/>
    </xf>
    <xf numFmtId="0" fontId="2" fillId="0" borderId="2" xfId="0" applyFont="1" applyFill="1" applyBorder="1" applyAlignment="1">
      <alignment horizontal="center"/>
    </xf>
    <xf numFmtId="0" fontId="9" fillId="4" borderId="9" xfId="0" applyFont="1" applyFill="1" applyBorder="1" applyAlignment="1">
      <alignment/>
    </xf>
    <xf numFmtId="10" fontId="9" fillId="4" borderId="4" xfId="0" applyNumberFormat="1" applyFont="1" applyFill="1" applyBorder="1" applyAlignment="1">
      <alignment/>
    </xf>
    <xf numFmtId="170" fontId="9" fillId="4" borderId="4" xfId="0" applyNumberFormat="1" applyFont="1" applyFill="1" applyBorder="1" applyAlignment="1">
      <alignment/>
    </xf>
    <xf numFmtId="10" fontId="9" fillId="4" borderId="5" xfId="0" applyNumberFormat="1" applyFont="1" applyFill="1" applyBorder="1" applyAlignment="1">
      <alignment/>
    </xf>
    <xf numFmtId="0" fontId="9" fillId="4" borderId="5" xfId="0" applyFont="1" applyFill="1" applyBorder="1" applyAlignment="1">
      <alignment/>
    </xf>
    <xf numFmtId="0" fontId="9" fillId="4" borderId="16" xfId="0" applyFont="1" applyFill="1" applyBorder="1" applyAlignment="1">
      <alignment horizontal="right"/>
    </xf>
    <xf numFmtId="0" fontId="28" fillId="0" borderId="0" xfId="0" applyFont="1" applyAlignment="1">
      <alignment/>
    </xf>
    <xf numFmtId="170" fontId="0" fillId="0" borderId="82" xfId="0" applyNumberFormat="1" applyBorder="1" applyAlignment="1">
      <alignment wrapText="1"/>
    </xf>
    <xf numFmtId="170" fontId="0" fillId="0" borderId="83" xfId="0" applyNumberFormat="1" applyBorder="1" applyAlignment="1">
      <alignment wrapText="1"/>
    </xf>
    <xf numFmtId="171" fontId="0" fillId="0" borderId="82" xfId="0" applyNumberFormat="1" applyBorder="1" applyAlignment="1">
      <alignment wrapText="1"/>
    </xf>
    <xf numFmtId="9" fontId="0" fillId="0" borderId="37" xfId="0" applyNumberFormat="1" applyBorder="1" applyAlignment="1">
      <alignment wrapText="1"/>
    </xf>
    <xf numFmtId="3" fontId="9" fillId="0" borderId="4" xfId="0" applyNumberFormat="1" applyFont="1" applyBorder="1" applyAlignment="1">
      <alignment wrapText="1"/>
    </xf>
    <xf numFmtId="3" fontId="9" fillId="0" borderId="37" xfId="0" applyNumberFormat="1" applyFont="1" applyBorder="1" applyAlignment="1">
      <alignment wrapText="1"/>
    </xf>
    <xf numFmtId="3" fontId="9" fillId="0" borderId="37" xfId="0" applyNumberFormat="1" applyFont="1" applyBorder="1" applyAlignment="1">
      <alignment horizontal="right" wrapText="1"/>
    </xf>
    <xf numFmtId="3" fontId="0" fillId="3" borderId="53" xfId="0" applyNumberFormat="1" applyFill="1" applyBorder="1" applyAlignment="1">
      <alignment wrapText="1"/>
    </xf>
    <xf numFmtId="0" fontId="2" fillId="8" borderId="4" xfId="0" applyFont="1" applyFill="1" applyBorder="1" applyAlignment="1">
      <alignment wrapText="1"/>
    </xf>
    <xf numFmtId="3" fontId="2" fillId="8" borderId="4" xfId="0" applyNumberFormat="1" applyFont="1" applyFill="1" applyBorder="1" applyAlignment="1">
      <alignment wrapText="1"/>
    </xf>
    <xf numFmtId="0" fontId="0" fillId="0" borderId="58" xfId="0" applyFill="1" applyBorder="1" applyAlignment="1">
      <alignment/>
    </xf>
    <xf numFmtId="0" fontId="6" fillId="0" borderId="0" xfId="0" applyFont="1" applyAlignment="1">
      <alignment vertical="center"/>
    </xf>
    <xf numFmtId="0" fontId="33" fillId="3" borderId="36" xfId="0" applyFont="1" applyFill="1" applyBorder="1" applyAlignment="1">
      <alignment wrapText="1"/>
    </xf>
    <xf numFmtId="0" fontId="3" fillId="10" borderId="0" xfId="0" applyFont="1" applyFill="1" applyAlignment="1">
      <alignment/>
    </xf>
    <xf numFmtId="4" fontId="3" fillId="10" borderId="0" xfId="0" applyNumberFormat="1" applyFont="1" applyFill="1" applyAlignment="1">
      <alignment/>
    </xf>
    <xf numFmtId="2" fontId="3" fillId="10" borderId="0" xfId="0" applyNumberFormat="1" applyFont="1" applyFill="1" applyAlignment="1">
      <alignment/>
    </xf>
    <xf numFmtId="0" fontId="6" fillId="10" borderId="84" xfId="0" applyFont="1" applyFill="1" applyBorder="1" applyAlignment="1">
      <alignment horizontal="center" vertical="center"/>
    </xf>
    <xf numFmtId="4" fontId="6" fillId="10" borderId="85" xfId="0" applyNumberFormat="1" applyFont="1" applyFill="1" applyBorder="1" applyAlignment="1">
      <alignment horizontal="right" vertical="center"/>
    </xf>
    <xf numFmtId="0" fontId="2" fillId="10" borderId="84" xfId="0" applyFont="1" applyFill="1" applyBorder="1" applyAlignment="1">
      <alignment/>
    </xf>
    <xf numFmtId="3" fontId="2" fillId="10" borderId="86" xfId="0" applyNumberFormat="1" applyFont="1" applyFill="1" applyBorder="1" applyAlignment="1">
      <alignment/>
    </xf>
    <xf numFmtId="3" fontId="2" fillId="10" borderId="85" xfId="0" applyNumberFormat="1" applyFont="1" applyFill="1" applyBorder="1" applyAlignment="1">
      <alignment/>
    </xf>
    <xf numFmtId="10" fontId="0" fillId="10" borderId="2" xfId="0" applyNumberFormat="1" applyFill="1" applyBorder="1" applyAlignment="1">
      <alignment/>
    </xf>
    <xf numFmtId="10" fontId="2" fillId="10" borderId="19" xfId="0" applyNumberFormat="1" applyFont="1" applyFill="1" applyBorder="1" applyAlignment="1">
      <alignment/>
    </xf>
    <xf numFmtId="0" fontId="46" fillId="0" borderId="0" xfId="0" applyFont="1" applyFill="1" applyBorder="1" applyAlignment="1">
      <alignment vertical="center" wrapText="1"/>
    </xf>
    <xf numFmtId="38" fontId="6" fillId="0" borderId="0" xfId="0" applyNumberFormat="1" applyFont="1" applyAlignment="1">
      <alignment vertical="center"/>
    </xf>
    <xf numFmtId="0" fontId="34" fillId="0" borderId="0" xfId="0" applyFont="1" applyAlignment="1">
      <alignment/>
    </xf>
    <xf numFmtId="0" fontId="6" fillId="6" borderId="66"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0" fillId="0" borderId="56" xfId="0" applyBorder="1" applyAlignment="1">
      <alignment/>
    </xf>
    <xf numFmtId="3" fontId="0" fillId="0" borderId="87" xfId="0" applyNumberFormat="1" applyBorder="1" applyAlignment="1">
      <alignment/>
    </xf>
    <xf numFmtId="10" fontId="0" fillId="0" borderId="57" xfId="0" applyNumberFormat="1" applyBorder="1" applyAlignment="1">
      <alignment/>
    </xf>
    <xf numFmtId="0" fontId="0" fillId="0" borderId="58" xfId="0" applyBorder="1" applyAlignment="1">
      <alignment/>
    </xf>
    <xf numFmtId="10" fontId="0" fillId="0" borderId="59" xfId="0" applyNumberFormat="1" applyBorder="1" applyAlignment="1">
      <alignment/>
    </xf>
    <xf numFmtId="0" fontId="0" fillId="0" borderId="58" xfId="0" applyBorder="1" applyAlignment="1">
      <alignment wrapText="1"/>
    </xf>
    <xf numFmtId="0" fontId="0" fillId="0" borderId="60" xfId="0" applyBorder="1" applyAlignment="1">
      <alignment/>
    </xf>
    <xf numFmtId="3" fontId="0" fillId="0" borderId="88" xfId="0" applyNumberFormat="1" applyBorder="1" applyAlignment="1">
      <alignment/>
    </xf>
    <xf numFmtId="10" fontId="0" fillId="0" borderId="61" xfId="0" applyNumberFormat="1" applyBorder="1" applyAlignment="1">
      <alignment/>
    </xf>
    <xf numFmtId="0" fontId="0" fillId="0" borderId="56" xfId="0" applyFont="1" applyBorder="1" applyAlignment="1">
      <alignment/>
    </xf>
    <xf numFmtId="3" fontId="0" fillId="0" borderId="87" xfId="0" applyNumberFormat="1" applyFont="1" applyBorder="1" applyAlignment="1">
      <alignment/>
    </xf>
    <xf numFmtId="0" fontId="0" fillId="0" borderId="60" xfId="0" applyBorder="1" applyAlignment="1">
      <alignment wrapText="1"/>
    </xf>
    <xf numFmtId="0" fontId="0" fillId="0" borderId="60" xfId="0" applyFill="1" applyBorder="1" applyAlignment="1">
      <alignment/>
    </xf>
    <xf numFmtId="3" fontId="9" fillId="4" borderId="28" xfId="0" applyNumberFormat="1" applyFont="1" applyFill="1" applyBorder="1" applyAlignment="1">
      <alignment/>
    </xf>
    <xf numFmtId="0" fontId="9" fillId="4" borderId="28" xfId="0" applyFont="1" applyFill="1" applyBorder="1" applyAlignment="1">
      <alignment/>
    </xf>
    <xf numFmtId="3" fontId="9" fillId="4" borderId="88" xfId="0" applyNumberFormat="1" applyFont="1" applyFill="1" applyBorder="1" applyAlignment="1">
      <alignment/>
    </xf>
    <xf numFmtId="0" fontId="28" fillId="6" borderId="66" xfId="0" applyFont="1" applyFill="1" applyBorder="1" applyAlignment="1">
      <alignment vertical="center"/>
    </xf>
    <xf numFmtId="0" fontId="0" fillId="6" borderId="89" xfId="0" applyFill="1" applyBorder="1" applyAlignment="1">
      <alignment/>
    </xf>
    <xf numFmtId="0" fontId="0" fillId="6" borderId="19" xfId="0" applyFill="1" applyBorder="1" applyAlignment="1">
      <alignment/>
    </xf>
    <xf numFmtId="0" fontId="47" fillId="0" borderId="0" xfId="0" applyFont="1" applyAlignment="1">
      <alignment vertical="center"/>
    </xf>
    <xf numFmtId="4" fontId="47" fillId="0" borderId="0" xfId="0" applyNumberFormat="1" applyFont="1" applyAlignment="1">
      <alignment horizontal="left" vertical="center"/>
    </xf>
    <xf numFmtId="0" fontId="47" fillId="0" borderId="0" xfId="0" applyFont="1" applyAlignment="1" quotePrefix="1">
      <alignment vertical="center"/>
    </xf>
    <xf numFmtId="3" fontId="9" fillId="4" borderId="4" xfId="0" applyNumberFormat="1" applyFont="1" applyFill="1" applyBorder="1" applyAlignment="1">
      <alignment wrapText="1"/>
    </xf>
    <xf numFmtId="3" fontId="9" fillId="4" borderId="4" xfId="0" applyNumberFormat="1" applyFont="1" applyFill="1" applyBorder="1" applyAlignment="1">
      <alignment wrapText="1"/>
    </xf>
    <xf numFmtId="4" fontId="9" fillId="4" borderId="4" xfId="0" applyNumberFormat="1" applyFont="1" applyFill="1" applyBorder="1" applyAlignment="1">
      <alignment wrapText="1"/>
    </xf>
    <xf numFmtId="0" fontId="9" fillId="4" borderId="4" xfId="0" applyFont="1" applyFill="1" applyBorder="1" applyAlignment="1">
      <alignment/>
    </xf>
    <xf numFmtId="0" fontId="0" fillId="0" borderId="0" xfId="0" applyAlignment="1">
      <alignment horizontal="left" wrapText="1"/>
    </xf>
    <xf numFmtId="3" fontId="0" fillId="0" borderId="0" xfId="0" applyNumberFormat="1" applyAlignment="1">
      <alignment horizontal="left" wrapText="1"/>
    </xf>
    <xf numFmtId="9" fontId="0" fillId="0" borderId="0" xfId="0" applyNumberFormat="1" applyAlignment="1">
      <alignment horizontal="left" wrapText="1"/>
    </xf>
    <xf numFmtId="0" fontId="0" fillId="6" borderId="0" xfId="0" applyFill="1" applyAlignment="1">
      <alignment/>
    </xf>
    <xf numFmtId="0" fontId="44" fillId="0" borderId="0" xfId="0" applyFont="1" applyAlignment="1">
      <alignment/>
    </xf>
    <xf numFmtId="38" fontId="2" fillId="3" borderId="2" xfId="0" applyNumberFormat="1" applyFont="1" applyFill="1" applyBorder="1" applyAlignment="1">
      <alignment horizontal="center" vertical="center" wrapText="1"/>
    </xf>
    <xf numFmtId="38" fontId="2" fillId="3" borderId="29" xfId="0" applyNumberFormat="1" applyFont="1" applyFill="1" applyBorder="1" applyAlignment="1">
      <alignment horizontal="center" vertical="center" wrapText="1"/>
    </xf>
    <xf numFmtId="0" fontId="2" fillId="3" borderId="29" xfId="0" applyFont="1" applyFill="1" applyBorder="1" applyAlignment="1">
      <alignment horizontal="center" vertical="center" wrapText="1"/>
    </xf>
    <xf numFmtId="0" fontId="0" fillId="0" borderId="46" xfId="0" applyFill="1" applyBorder="1" applyAlignment="1">
      <alignment/>
    </xf>
    <xf numFmtId="6" fontId="0" fillId="0" borderId="47" xfId="0" applyNumberFormat="1" applyBorder="1" applyAlignment="1">
      <alignment/>
    </xf>
    <xf numFmtId="6" fontId="0" fillId="0" borderId="48" xfId="0" applyNumberFormat="1" applyBorder="1" applyAlignment="1">
      <alignment/>
    </xf>
    <xf numFmtId="6" fontId="0" fillId="0" borderId="4" xfId="0" applyNumberFormat="1" applyBorder="1" applyAlignment="1">
      <alignment/>
    </xf>
    <xf numFmtId="6" fontId="0" fillId="0" borderId="50" xfId="0" applyNumberFormat="1" applyBorder="1" applyAlignment="1">
      <alignment/>
    </xf>
    <xf numFmtId="6" fontId="2" fillId="0" borderId="37" xfId="0" applyNumberFormat="1" applyFont="1" applyBorder="1" applyAlignment="1">
      <alignment/>
    </xf>
    <xf numFmtId="6" fontId="2" fillId="0" borderId="53" xfId="0" applyNumberFormat="1" applyFont="1" applyBorder="1" applyAlignment="1">
      <alignment/>
    </xf>
    <xf numFmtId="0" fontId="0" fillId="0" borderId="0" xfId="0" applyAlignment="1">
      <alignment horizontal="left" vertical="center"/>
    </xf>
    <xf numFmtId="0" fontId="2" fillId="0" borderId="90" xfId="0" applyFont="1" applyBorder="1" applyAlignment="1">
      <alignment/>
    </xf>
    <xf numFmtId="6" fontId="2" fillId="0" borderId="5" xfId="0" applyNumberFormat="1" applyFont="1" applyBorder="1" applyAlignment="1">
      <alignment/>
    </xf>
    <xf numFmtId="6" fontId="2" fillId="0" borderId="91" xfId="0" applyNumberFormat="1" applyFont="1" applyBorder="1" applyAlignment="1">
      <alignment/>
    </xf>
    <xf numFmtId="0" fontId="0" fillId="0" borderId="92" xfId="0" applyFill="1" applyBorder="1" applyAlignment="1">
      <alignment/>
    </xf>
    <xf numFmtId="6" fontId="0" fillId="0" borderId="16" xfId="0" applyNumberFormat="1" applyBorder="1" applyAlignment="1">
      <alignment/>
    </xf>
    <xf numFmtId="6" fontId="0" fillId="0" borderId="54" xfId="0" applyNumberFormat="1" applyBorder="1" applyAlignment="1">
      <alignment/>
    </xf>
    <xf numFmtId="0" fontId="10" fillId="3" borderId="2" xfId="0" applyFont="1" applyFill="1" applyBorder="1" applyAlignment="1">
      <alignment horizontal="left" vertical="center" wrapText="1"/>
    </xf>
    <xf numFmtId="0" fontId="10" fillId="3" borderId="29" xfId="0" applyFont="1" applyFill="1" applyBorder="1" applyAlignment="1">
      <alignment vertical="center" wrapText="1"/>
    </xf>
    <xf numFmtId="9" fontId="2" fillId="0" borderId="0" xfId="0" applyNumberFormat="1" applyFont="1" applyAlignment="1">
      <alignment/>
    </xf>
    <xf numFmtId="0" fontId="35" fillId="0" borderId="28" xfId="0" applyFont="1" applyFill="1" applyBorder="1" applyAlignment="1">
      <alignment wrapText="1"/>
    </xf>
    <xf numFmtId="4" fontId="49" fillId="4" borderId="28" xfId="0" applyNumberFormat="1" applyFont="1" applyFill="1" applyBorder="1" applyAlignment="1">
      <alignment/>
    </xf>
    <xf numFmtId="38" fontId="0" fillId="0" borderId="0" xfId="0" applyNumberFormat="1" applyAlignment="1">
      <alignment/>
    </xf>
    <xf numFmtId="1" fontId="0" fillId="0" borderId="0" xfId="0" applyNumberFormat="1" applyFont="1" applyAlignment="1">
      <alignment/>
    </xf>
    <xf numFmtId="1" fontId="0" fillId="0" borderId="30" xfId="0" applyNumberFormat="1" applyBorder="1" applyAlignment="1">
      <alignment/>
    </xf>
    <xf numFmtId="0" fontId="6" fillId="0" borderId="6" xfId="0" applyFont="1" applyBorder="1" applyAlignment="1">
      <alignment wrapText="1"/>
    </xf>
    <xf numFmtId="3" fontId="6" fillId="0" borderId="6" xfId="0" applyNumberFormat="1" applyFont="1" applyBorder="1" applyAlignment="1">
      <alignment wrapText="1"/>
    </xf>
    <xf numFmtId="3" fontId="6" fillId="0" borderId="6" xfId="0" applyNumberFormat="1" applyFont="1" applyFill="1" applyBorder="1" applyAlignment="1">
      <alignment wrapText="1"/>
    </xf>
    <xf numFmtId="3" fontId="10" fillId="0" borderId="0" xfId="0" applyNumberFormat="1" applyFont="1" applyAlignment="1">
      <alignment wrapText="1"/>
    </xf>
    <xf numFmtId="3" fontId="10" fillId="0" borderId="0" xfId="0" applyNumberFormat="1" applyFont="1" applyBorder="1" applyAlignment="1">
      <alignment wrapText="1"/>
    </xf>
    <xf numFmtId="3" fontId="10" fillId="0" borderId="0" xfId="0" applyNumberFormat="1" applyFont="1" applyFill="1" applyBorder="1" applyAlignment="1">
      <alignment wrapText="1"/>
    </xf>
    <xf numFmtId="3" fontId="10" fillId="0" borderId="0" xfId="0" applyNumberFormat="1" applyFont="1" applyFill="1" applyAlignment="1">
      <alignment wrapText="1"/>
    </xf>
    <xf numFmtId="0" fontId="10" fillId="0" borderId="0" xfId="0" applyFont="1" applyAlignment="1">
      <alignment vertical="center"/>
    </xf>
    <xf numFmtId="0" fontId="0" fillId="0" borderId="3" xfId="0" applyBorder="1" applyAlignment="1">
      <alignment/>
    </xf>
    <xf numFmtId="0" fontId="0" fillId="0" borderId="31" xfId="0" applyBorder="1" applyAlignment="1">
      <alignment/>
    </xf>
    <xf numFmtId="3" fontId="0" fillId="0" borderId="55" xfId="0" applyNumberFormat="1" applyBorder="1" applyAlignment="1">
      <alignment/>
    </xf>
    <xf numFmtId="3" fontId="0" fillId="0" borderId="16" xfId="0" applyNumberFormat="1" applyBorder="1" applyAlignment="1">
      <alignment/>
    </xf>
    <xf numFmtId="3" fontId="0" fillId="0" borderId="93" xfId="0" applyNumberFormat="1" applyBorder="1" applyAlignment="1">
      <alignment/>
    </xf>
    <xf numFmtId="3" fontId="0" fillId="0" borderId="4" xfId="0" applyNumberFormat="1" applyBorder="1" applyAlignment="1">
      <alignment/>
    </xf>
    <xf numFmtId="38" fontId="0" fillId="0" borderId="93" xfId="0" applyNumberFormat="1" applyBorder="1" applyAlignment="1">
      <alignment/>
    </xf>
    <xf numFmtId="38" fontId="0" fillId="0" borderId="4" xfId="0" applyNumberFormat="1" applyBorder="1" applyAlignment="1">
      <alignment/>
    </xf>
    <xf numFmtId="0" fontId="10" fillId="0" borderId="29" xfId="0" applyFont="1" applyBorder="1" applyAlignment="1">
      <alignment horizontal="center" vertical="center" wrapText="1"/>
    </xf>
    <xf numFmtId="0" fontId="10" fillId="0" borderId="94" xfId="0" applyFont="1" applyBorder="1" applyAlignment="1">
      <alignment horizontal="center" vertical="center" wrapText="1"/>
    </xf>
    <xf numFmtId="168" fontId="9" fillId="4" borderId="28" xfId="0" applyNumberFormat="1" applyFont="1" applyFill="1" applyBorder="1" applyAlignment="1">
      <alignment horizontal="right"/>
    </xf>
    <xf numFmtId="0" fontId="0" fillId="4" borderId="4" xfId="0" applyFill="1" applyBorder="1" applyAlignment="1">
      <alignment wrapText="1"/>
    </xf>
    <xf numFmtId="3" fontId="9" fillId="4" borderId="5" xfId="0" applyNumberFormat="1" applyFont="1" applyFill="1" applyBorder="1" applyAlignment="1">
      <alignment wrapText="1"/>
    </xf>
    <xf numFmtId="0" fontId="28" fillId="3" borderId="95" xfId="0" applyFont="1" applyFill="1" applyBorder="1" applyAlignment="1">
      <alignment/>
    </xf>
    <xf numFmtId="0" fontId="0" fillId="3" borderId="30" xfId="0" applyFont="1" applyFill="1" applyBorder="1" applyAlignment="1">
      <alignment/>
    </xf>
    <xf numFmtId="3" fontId="0" fillId="3" borderId="30" xfId="0" applyNumberFormat="1" applyFont="1" applyFill="1" applyBorder="1" applyAlignment="1">
      <alignment wrapText="1"/>
    </xf>
    <xf numFmtId="3" fontId="1" fillId="3" borderId="96" xfId="0" applyNumberFormat="1" applyFont="1" applyFill="1" applyBorder="1" applyAlignment="1">
      <alignment/>
    </xf>
    <xf numFmtId="0" fontId="0" fillId="3" borderId="0" xfId="0" applyFont="1" applyFill="1" applyBorder="1" applyAlignment="1">
      <alignment wrapText="1"/>
    </xf>
    <xf numFmtId="4" fontId="1" fillId="3" borderId="78" xfId="0" applyNumberFormat="1" applyFont="1" applyFill="1" applyBorder="1" applyAlignment="1">
      <alignment wrapText="1"/>
    </xf>
    <xf numFmtId="0" fontId="28" fillId="3" borderId="97" xfId="0" applyFont="1" applyFill="1" applyBorder="1" applyAlignment="1">
      <alignment/>
    </xf>
    <xf numFmtId="4" fontId="1" fillId="3" borderId="0" xfId="0" applyNumberFormat="1" applyFont="1" applyFill="1" applyBorder="1" applyAlignment="1">
      <alignment wrapText="1"/>
    </xf>
    <xf numFmtId="3" fontId="1" fillId="3" borderId="78" xfId="0" applyNumberFormat="1" applyFont="1" applyFill="1" applyBorder="1" applyAlignment="1">
      <alignment wrapText="1"/>
    </xf>
    <xf numFmtId="0" fontId="0" fillId="0" borderId="78" xfId="0" applyBorder="1" applyAlignment="1">
      <alignment/>
    </xf>
    <xf numFmtId="3" fontId="2" fillId="11"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2" fillId="0" borderId="89" xfId="0" applyFont="1" applyBorder="1" applyAlignment="1">
      <alignment horizontal="center" vertical="center" wrapText="1"/>
    </xf>
    <xf numFmtId="3" fontId="0" fillId="5" borderId="98" xfId="0" applyNumberFormat="1" applyFill="1" applyBorder="1" applyAlignment="1">
      <alignment wrapText="1"/>
    </xf>
    <xf numFmtId="0" fontId="0" fillId="5" borderId="99" xfId="0" applyFill="1" applyBorder="1" applyAlignment="1">
      <alignment wrapText="1"/>
    </xf>
    <xf numFmtId="3" fontId="0" fillId="0" borderId="100" xfId="0" applyNumberFormat="1" applyBorder="1" applyAlignment="1">
      <alignment wrapText="1"/>
    </xf>
    <xf numFmtId="3" fontId="0" fillId="0" borderId="101" xfId="0" applyNumberFormat="1" applyBorder="1" applyAlignment="1">
      <alignment wrapText="1"/>
    </xf>
    <xf numFmtId="3" fontId="0" fillId="5" borderId="51" xfId="0" applyNumberFormat="1" applyFill="1" applyBorder="1" applyAlignment="1">
      <alignment wrapText="1"/>
    </xf>
    <xf numFmtId="3" fontId="0" fillId="0" borderId="102" xfId="0" applyNumberFormat="1" applyBorder="1" applyAlignment="1">
      <alignment wrapText="1"/>
    </xf>
    <xf numFmtId="0" fontId="5" fillId="5" borderId="99" xfId="0" applyFont="1" applyFill="1" applyBorder="1" applyAlignment="1">
      <alignment wrapText="1"/>
    </xf>
    <xf numFmtId="0" fontId="9" fillId="0" borderId="7" xfId="0" applyFont="1" applyFill="1" applyBorder="1" applyAlignment="1">
      <alignment wrapText="1"/>
    </xf>
    <xf numFmtId="0" fontId="9" fillId="0" borderId="0" xfId="0" applyFont="1" applyBorder="1" applyAlignment="1">
      <alignment wrapText="1"/>
    </xf>
    <xf numFmtId="3" fontId="0" fillId="5" borderId="103" xfId="0" applyNumberFormat="1" applyFill="1" applyBorder="1" applyAlignment="1">
      <alignment wrapText="1"/>
    </xf>
    <xf numFmtId="9" fontId="9" fillId="3" borderId="62" xfId="0" applyNumberFormat="1" applyFont="1" applyFill="1" applyBorder="1" applyAlignment="1">
      <alignment wrapText="1"/>
    </xf>
    <xf numFmtId="9" fontId="9" fillId="3" borderId="104" xfId="0" applyNumberFormat="1" applyFont="1" applyFill="1" applyBorder="1" applyAlignment="1">
      <alignment wrapText="1"/>
    </xf>
    <xf numFmtId="3" fontId="9" fillId="0" borderId="1" xfId="0" applyNumberFormat="1" applyFont="1" applyFill="1" applyBorder="1" applyAlignment="1" applyProtection="1">
      <alignment/>
      <protection locked="0"/>
    </xf>
    <xf numFmtId="3" fontId="9" fillId="0" borderId="79" xfId="0" applyNumberFormat="1" applyFont="1" applyFill="1" applyBorder="1" applyAlignment="1" applyProtection="1">
      <alignment/>
      <protection locked="0"/>
    </xf>
    <xf numFmtId="3" fontId="0" fillId="0" borderId="105" xfId="0" applyNumberFormat="1" applyBorder="1" applyAlignment="1">
      <alignment wrapText="1"/>
    </xf>
    <xf numFmtId="3" fontId="0" fillId="0" borderId="106" xfId="0" applyNumberFormat="1" applyBorder="1" applyAlignment="1">
      <alignment wrapText="1"/>
    </xf>
    <xf numFmtId="0" fontId="1" fillId="6" borderId="28" xfId="0" applyFont="1" applyFill="1" applyBorder="1" applyAlignment="1">
      <alignment vertical="center"/>
    </xf>
    <xf numFmtId="0" fontId="1" fillId="6" borderId="28" xfId="0" applyFont="1" applyFill="1" applyBorder="1" applyAlignment="1">
      <alignment horizontal="right" vertical="center"/>
    </xf>
    <xf numFmtId="3" fontId="0" fillId="2" borderId="28" xfId="0" applyNumberFormat="1" applyFill="1" applyBorder="1" applyAlignment="1">
      <alignment/>
    </xf>
    <xf numFmtId="0" fontId="32" fillId="12" borderId="2" xfId="0" applyFont="1" applyFill="1" applyBorder="1" applyAlignment="1">
      <alignment horizontal="left" vertical="center" wrapText="1"/>
    </xf>
    <xf numFmtId="0" fontId="2" fillId="12" borderId="2" xfId="0" applyFont="1" applyFill="1" applyBorder="1" applyAlignment="1">
      <alignment horizontal="center" vertical="center" wrapText="1"/>
    </xf>
    <xf numFmtId="3" fontId="2" fillId="12" borderId="2" xfId="0" applyNumberFormat="1" applyFont="1" applyFill="1" applyBorder="1" applyAlignment="1">
      <alignment horizontal="center" vertical="center" wrapText="1"/>
    </xf>
    <xf numFmtId="0" fontId="2" fillId="2" borderId="28" xfId="0" applyFont="1" applyFill="1" applyBorder="1" applyAlignment="1">
      <alignment wrapText="1"/>
    </xf>
    <xf numFmtId="0" fontId="0" fillId="2" borderId="28" xfId="0" applyFill="1" applyBorder="1" applyAlignment="1">
      <alignment wrapText="1"/>
    </xf>
    <xf numFmtId="3" fontId="0" fillId="2" borderId="28" xfId="0" applyNumberFormat="1" applyFill="1" applyBorder="1" applyAlignment="1">
      <alignment wrapText="1"/>
    </xf>
    <xf numFmtId="0" fontId="2" fillId="2" borderId="39" xfId="0" applyFont="1" applyFill="1" applyBorder="1" applyAlignment="1">
      <alignment wrapText="1"/>
    </xf>
    <xf numFmtId="0" fontId="2" fillId="2" borderId="39" xfId="0" applyFont="1" applyFill="1" applyBorder="1" applyAlignment="1">
      <alignment horizontal="center" wrapText="1"/>
    </xf>
    <xf numFmtId="3" fontId="2" fillId="2" borderId="39" xfId="0" applyNumberFormat="1" applyFont="1" applyFill="1" applyBorder="1" applyAlignment="1">
      <alignment horizontal="center" wrapText="1"/>
    </xf>
    <xf numFmtId="0" fontId="0" fillId="0" borderId="11" xfId="0" applyBorder="1" applyAlignment="1">
      <alignment/>
    </xf>
    <xf numFmtId="0" fontId="0" fillId="0" borderId="93" xfId="0" applyBorder="1" applyAlignment="1">
      <alignment/>
    </xf>
    <xf numFmtId="0" fontId="0" fillId="0" borderId="12" xfId="0" applyBorder="1" applyAlignment="1">
      <alignment/>
    </xf>
    <xf numFmtId="0" fontId="0" fillId="0" borderId="11" xfId="0" applyBorder="1" applyAlignment="1">
      <alignment wrapText="1"/>
    </xf>
    <xf numFmtId="2" fontId="0" fillId="0" borderId="28" xfId="0" applyNumberFormat="1" applyFont="1" applyBorder="1" applyAlignment="1">
      <alignment wrapText="1"/>
    </xf>
    <xf numFmtId="3" fontId="0" fillId="0" borderId="28" xfId="0" applyNumberFormat="1" applyFont="1" applyBorder="1" applyAlignment="1">
      <alignment wrapText="1"/>
    </xf>
    <xf numFmtId="171" fontId="0" fillId="0" borderId="107" xfId="0" applyNumberFormat="1" applyBorder="1" applyAlignment="1">
      <alignment wrapText="1"/>
    </xf>
    <xf numFmtId="0" fontId="2" fillId="4" borderId="2" xfId="0" applyFont="1" applyFill="1" applyBorder="1" applyAlignment="1">
      <alignment horizontal="center" vertical="center" wrapText="1"/>
    </xf>
    <xf numFmtId="9" fontId="5" fillId="5" borderId="0" xfId="0" applyNumberFormat="1" applyFont="1" applyFill="1" applyBorder="1" applyAlignment="1">
      <alignment wrapText="1"/>
    </xf>
    <xf numFmtId="9" fontId="0" fillId="5" borderId="0" xfId="0" applyNumberFormat="1" applyFill="1" applyBorder="1" applyAlignment="1">
      <alignment wrapText="1"/>
    </xf>
    <xf numFmtId="0" fontId="0" fillId="5" borderId="63" xfId="0" applyFill="1" applyBorder="1" applyAlignment="1">
      <alignment wrapText="1"/>
    </xf>
    <xf numFmtId="3" fontId="0" fillId="4" borderId="7" xfId="0" applyNumberFormat="1" applyFont="1" applyFill="1" applyBorder="1" applyAlignment="1">
      <alignment wrapText="1"/>
    </xf>
    <xf numFmtId="3" fontId="0" fillId="0" borderId="7" xfId="0" applyNumberFormat="1" applyFont="1" applyBorder="1" applyAlignment="1">
      <alignment wrapText="1"/>
    </xf>
    <xf numFmtId="9" fontId="9" fillId="3" borderId="62" xfId="0" applyNumberFormat="1" applyFont="1" applyFill="1" applyBorder="1" applyAlignment="1">
      <alignment/>
    </xf>
    <xf numFmtId="0" fontId="43" fillId="6" borderId="0" xfId="0" applyFont="1" applyFill="1" applyAlignment="1">
      <alignment vertical="center"/>
    </xf>
    <xf numFmtId="0" fontId="32" fillId="12" borderId="2" xfId="0" applyFont="1" applyFill="1" applyBorder="1" applyAlignment="1">
      <alignment wrapText="1"/>
    </xf>
    <xf numFmtId="0" fontId="2" fillId="12" borderId="2" xfId="0" applyFont="1" applyFill="1" applyBorder="1" applyAlignment="1">
      <alignment horizontal="center" vertical="center"/>
    </xf>
    <xf numFmtId="4" fontId="2" fillId="12" borderId="2" xfId="0" applyNumberFormat="1" applyFont="1" applyFill="1" applyBorder="1" applyAlignment="1">
      <alignment horizontal="center" vertical="center" wrapText="1"/>
    </xf>
    <xf numFmtId="0" fontId="24" fillId="12" borderId="2" xfId="0" applyFont="1" applyFill="1" applyBorder="1" applyAlignment="1">
      <alignment wrapText="1"/>
    </xf>
    <xf numFmtId="0" fontId="2" fillId="2" borderId="39" xfId="0" applyFont="1" applyFill="1" applyBorder="1" applyAlignment="1">
      <alignment/>
    </xf>
    <xf numFmtId="0" fontId="2" fillId="2" borderId="39" xfId="0" applyFont="1" applyFill="1" applyBorder="1" applyAlignment="1">
      <alignment horizontal="center"/>
    </xf>
    <xf numFmtId="4" fontId="2" fillId="2" borderId="39" xfId="0" applyNumberFormat="1" applyFont="1" applyFill="1" applyBorder="1" applyAlignment="1">
      <alignment horizontal="center" wrapText="1"/>
    </xf>
    <xf numFmtId="0" fontId="0" fillId="2" borderId="45" xfId="0" applyFill="1" applyBorder="1" applyAlignment="1">
      <alignment wrapText="1"/>
    </xf>
    <xf numFmtId="0" fontId="2" fillId="2" borderId="28" xfId="0" applyFont="1" applyFill="1" applyBorder="1" applyAlignment="1">
      <alignment/>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2" borderId="23" xfId="0" applyFill="1" applyBorder="1" applyAlignment="1">
      <alignment wrapText="1"/>
    </xf>
    <xf numFmtId="0" fontId="0" fillId="0" borderId="45" xfId="0" applyBorder="1" applyAlignment="1">
      <alignment vertical="center" wrapText="1"/>
    </xf>
    <xf numFmtId="0" fontId="0" fillId="2" borderId="39" xfId="0" applyFill="1" applyBorder="1" applyAlignment="1">
      <alignment wrapText="1"/>
    </xf>
    <xf numFmtId="4" fontId="0" fillId="2" borderId="28" xfId="0" applyNumberFormat="1" applyFill="1" applyBorder="1" applyAlignment="1">
      <alignment/>
    </xf>
    <xf numFmtId="38" fontId="0" fillId="2" borderId="28" xfId="0" applyNumberFormat="1" applyFill="1" applyBorder="1" applyAlignment="1">
      <alignment/>
    </xf>
    <xf numFmtId="4" fontId="9" fillId="4" borderId="28" xfId="0" applyNumberFormat="1" applyFont="1" applyFill="1" applyBorder="1" applyAlignment="1">
      <alignment/>
    </xf>
    <xf numFmtId="4" fontId="0" fillId="0" borderId="28" xfId="0" applyNumberFormat="1" applyFill="1" applyBorder="1" applyAlignment="1">
      <alignment/>
    </xf>
    <xf numFmtId="0" fontId="9" fillId="4" borderId="28" xfId="0" applyFont="1" applyFill="1" applyBorder="1" applyAlignment="1">
      <alignment/>
    </xf>
    <xf numFmtId="1" fontId="0" fillId="0" borderId="28" xfId="0" applyNumberFormat="1" applyBorder="1" applyAlignment="1">
      <alignment wrapText="1"/>
    </xf>
    <xf numFmtId="0" fontId="6" fillId="0" borderId="0" xfId="0" applyFont="1" applyAlignment="1">
      <alignment/>
    </xf>
    <xf numFmtId="0" fontId="9" fillId="4" borderId="0" xfId="0" applyFont="1" applyFill="1" applyAlignment="1">
      <alignment/>
    </xf>
    <xf numFmtId="0" fontId="0" fillId="13" borderId="0" xfId="0" applyFill="1" applyAlignment="1">
      <alignment/>
    </xf>
    <xf numFmtId="0" fontId="0" fillId="2" borderId="0" xfId="0" applyFill="1" applyAlignment="1">
      <alignment/>
    </xf>
    <xf numFmtId="0" fontId="0" fillId="8" borderId="0" xfId="0" applyFill="1" applyAlignment="1">
      <alignment/>
    </xf>
    <xf numFmtId="0" fontId="0" fillId="14" borderId="0" xfId="0" applyFill="1" applyAlignment="1">
      <alignment/>
    </xf>
    <xf numFmtId="0" fontId="0" fillId="15" borderId="0" xfId="0" applyFill="1" applyAlignment="1">
      <alignment/>
    </xf>
    <xf numFmtId="0" fontId="0" fillId="16" borderId="0" xfId="0" applyFill="1" applyAlignment="1">
      <alignment/>
    </xf>
    <xf numFmtId="0" fontId="0" fillId="0" borderId="0" xfId="0" applyFill="1" applyAlignment="1">
      <alignment/>
    </xf>
    <xf numFmtId="3" fontId="0" fillId="13" borderId="0" xfId="0" applyNumberFormat="1" applyFill="1" applyAlignment="1">
      <alignment/>
    </xf>
    <xf numFmtId="3" fontId="0" fillId="4" borderId="0" xfId="0" applyNumberFormat="1" applyFill="1" applyAlignment="1">
      <alignment/>
    </xf>
    <xf numFmtId="3" fontId="0" fillId="13" borderId="8" xfId="0" applyNumberFormat="1" applyFill="1" applyBorder="1" applyAlignment="1">
      <alignment/>
    </xf>
    <xf numFmtId="3" fontId="6" fillId="0" borderId="0" xfId="0" applyNumberFormat="1" applyFont="1" applyAlignment="1">
      <alignment/>
    </xf>
    <xf numFmtId="3" fontId="6" fillId="13" borderId="0" xfId="0" applyNumberFormat="1" applyFont="1" applyFill="1" applyAlignment="1">
      <alignment/>
    </xf>
    <xf numFmtId="3" fontId="6" fillId="4" borderId="0" xfId="0" applyNumberFormat="1" applyFont="1" applyFill="1" applyAlignment="1">
      <alignment/>
    </xf>
    <xf numFmtId="0" fontId="1" fillId="0" borderId="0" xfId="0" applyFont="1" applyAlignment="1">
      <alignment/>
    </xf>
    <xf numFmtId="3" fontId="9" fillId="4" borderId="28" xfId="0" applyNumberFormat="1" applyFont="1" applyFill="1" applyBorder="1" applyAlignment="1">
      <alignment/>
    </xf>
    <xf numFmtId="2" fontId="9" fillId="4" borderId="0" xfId="0" applyNumberFormat="1" applyFont="1" applyFill="1" applyAlignment="1">
      <alignment/>
    </xf>
    <xf numFmtId="0" fontId="9" fillId="0" borderId="0" xfId="0" applyFont="1" applyFill="1" applyAlignment="1">
      <alignment/>
    </xf>
    <xf numFmtId="38" fontId="0" fillId="0" borderId="28" xfId="0" applyNumberFormat="1" applyBorder="1" applyAlignment="1" quotePrefix="1">
      <alignment horizontal="center" vertical="center"/>
    </xf>
    <xf numFmtId="3" fontId="0" fillId="0" borderId="28" xfId="0" applyNumberFormat="1" applyFill="1" applyBorder="1" applyAlignment="1">
      <alignment/>
    </xf>
    <xf numFmtId="3" fontId="0" fillId="0" borderId="28" xfId="0" applyNumberFormat="1" applyBorder="1" applyAlignment="1" quotePrefix="1">
      <alignment horizontal="center" vertical="center"/>
    </xf>
    <xf numFmtId="0" fontId="2" fillId="6" borderId="28" xfId="0" applyFont="1" applyFill="1" applyBorder="1" applyAlignment="1">
      <alignment/>
    </xf>
    <xf numFmtId="4" fontId="2" fillId="6" borderId="28" xfId="0" applyNumberFormat="1" applyFont="1" applyFill="1" applyBorder="1" applyAlignment="1">
      <alignment/>
    </xf>
    <xf numFmtId="38" fontId="2" fillId="6" borderId="28" xfId="0" applyNumberFormat="1" applyFont="1" applyFill="1" applyBorder="1" applyAlignment="1">
      <alignment/>
    </xf>
    <xf numFmtId="0" fontId="2" fillId="6" borderId="23" xfId="0" applyFont="1" applyFill="1" applyBorder="1" applyAlignment="1">
      <alignment wrapText="1"/>
    </xf>
    <xf numFmtId="0" fontId="1" fillId="8" borderId="108" xfId="0" applyFont="1" applyFill="1" applyBorder="1" applyAlignment="1" applyProtection="1">
      <alignment wrapText="1"/>
      <protection/>
    </xf>
    <xf numFmtId="3" fontId="6" fillId="8" borderId="109" xfId="0" applyNumberFormat="1" applyFont="1" applyFill="1" applyBorder="1" applyAlignment="1" applyProtection="1">
      <alignment wrapText="1"/>
      <protection/>
    </xf>
    <xf numFmtId="0" fontId="34" fillId="8" borderId="109" xfId="0" applyFont="1" applyFill="1" applyBorder="1" applyAlignment="1" applyProtection="1">
      <alignment wrapText="1"/>
      <protection/>
    </xf>
    <xf numFmtId="3" fontId="6" fillId="8" borderId="110" xfId="0" applyNumberFormat="1" applyFont="1" applyFill="1" applyBorder="1" applyAlignment="1" applyProtection="1">
      <alignment wrapText="1"/>
      <protection/>
    </xf>
    <xf numFmtId="0" fontId="34" fillId="0" borderId="0" xfId="0" applyFont="1" applyAlignment="1" applyProtection="1">
      <alignment horizontal="right" wrapText="1"/>
      <protection/>
    </xf>
    <xf numFmtId="3" fontId="34" fillId="0" borderId="0" xfId="0" applyNumberFormat="1" applyFont="1" applyAlignment="1" applyProtection="1">
      <alignment wrapText="1"/>
      <protection/>
    </xf>
    <xf numFmtId="0" fontId="0" fillId="6" borderId="0" xfId="0" applyFill="1" applyBorder="1" applyAlignment="1">
      <alignment/>
    </xf>
    <xf numFmtId="0" fontId="51" fillId="6" borderId="0" xfId="0" applyFont="1" applyFill="1" applyBorder="1" applyAlignment="1">
      <alignment horizontal="center"/>
    </xf>
    <xf numFmtId="0" fontId="48" fillId="6" borderId="0" xfId="0" applyFont="1" applyFill="1" applyBorder="1" applyAlignment="1">
      <alignment horizontal="center"/>
    </xf>
    <xf numFmtId="0" fontId="1" fillId="6" borderId="0" xfId="0" applyFont="1" applyFill="1" applyBorder="1" applyAlignment="1">
      <alignment horizontal="center"/>
    </xf>
    <xf numFmtId="0" fontId="1" fillId="0" borderId="0" xfId="0" applyFont="1" applyBorder="1" applyAlignment="1">
      <alignment horizontal="center"/>
    </xf>
    <xf numFmtId="0" fontId="40" fillId="0" borderId="0" xfId="0" applyFont="1" applyBorder="1" applyAlignment="1">
      <alignment horizontal="center"/>
    </xf>
    <xf numFmtId="0" fontId="58" fillId="0" borderId="0" xfId="0" applyFont="1" applyBorder="1" applyAlignment="1">
      <alignment horizontal="center"/>
    </xf>
    <xf numFmtId="0" fontId="0" fillId="0" borderId="0" xfId="0" applyFont="1" applyFill="1" applyAlignment="1">
      <alignment/>
    </xf>
    <xf numFmtId="0" fontId="0" fillId="4" borderId="0" xfId="0" applyFill="1" applyAlignment="1">
      <alignment/>
    </xf>
    <xf numFmtId="3" fontId="6" fillId="8" borderId="0" xfId="0" applyNumberFormat="1" applyFont="1" applyFill="1" applyAlignment="1">
      <alignment/>
    </xf>
    <xf numFmtId="3" fontId="0" fillId="8" borderId="0" xfId="0" applyNumberFormat="1" applyFill="1" applyAlignment="1">
      <alignment/>
    </xf>
    <xf numFmtId="0" fontId="0" fillId="0" borderId="11" xfId="0" applyFont="1" applyBorder="1" applyAlignment="1">
      <alignment wrapText="1"/>
    </xf>
    <xf numFmtId="3" fontId="6" fillId="12" borderId="0" xfId="0" applyNumberFormat="1" applyFont="1" applyFill="1" applyAlignment="1">
      <alignment/>
    </xf>
    <xf numFmtId="3" fontId="6" fillId="17" borderId="0" xfId="0" applyNumberFormat="1" applyFont="1" applyFill="1" applyAlignment="1">
      <alignment/>
    </xf>
    <xf numFmtId="4" fontId="9" fillId="4" borderId="28" xfId="0" applyNumberFormat="1" applyFont="1" applyFill="1" applyBorder="1" applyAlignment="1">
      <alignment/>
    </xf>
    <xf numFmtId="2" fontId="9" fillId="4" borderId="28" xfId="0" applyNumberFormat="1" applyFont="1" applyFill="1" applyBorder="1" applyAlignment="1">
      <alignment wrapText="1"/>
    </xf>
    <xf numFmtId="0" fontId="2" fillId="6" borderId="28" xfId="0" applyFont="1" applyFill="1" applyBorder="1" applyAlignment="1">
      <alignment wrapText="1"/>
    </xf>
    <xf numFmtId="38" fontId="2" fillId="6" borderId="28" xfId="0" applyNumberFormat="1" applyFont="1" applyFill="1" applyBorder="1" applyAlignment="1">
      <alignment wrapText="1"/>
    </xf>
    <xf numFmtId="0" fontId="6" fillId="8" borderId="11" xfId="0" applyFont="1" applyFill="1" applyBorder="1" applyAlignment="1">
      <alignment/>
    </xf>
    <xf numFmtId="0" fontId="0" fillId="8" borderId="4" xfId="0" applyFont="1" applyFill="1" applyBorder="1" applyAlignment="1">
      <alignment horizontal="center"/>
    </xf>
    <xf numFmtId="0" fontId="45" fillId="8" borderId="4" xfId="0" applyFont="1" applyFill="1" applyBorder="1" applyAlignment="1">
      <alignment horizontal="right"/>
    </xf>
    <xf numFmtId="0" fontId="0" fillId="8" borderId="12" xfId="0" applyFont="1" applyFill="1" applyBorder="1" applyAlignment="1">
      <alignment wrapText="1"/>
    </xf>
    <xf numFmtId="0" fontId="6" fillId="8" borderId="11" xfId="0" applyFont="1" applyFill="1" applyBorder="1" applyAlignment="1">
      <alignment wrapText="1"/>
    </xf>
    <xf numFmtId="4" fontId="2" fillId="2" borderId="111" xfId="0" applyNumberFormat="1" applyFont="1" applyFill="1" applyBorder="1" applyAlignment="1">
      <alignment horizontal="center" wrapText="1"/>
    </xf>
    <xf numFmtId="3" fontId="0" fillId="9" borderId="41" xfId="0" applyNumberFormat="1" applyFill="1" applyBorder="1" applyAlignment="1">
      <alignment/>
    </xf>
    <xf numFmtId="3" fontId="2" fillId="9" borderId="41" xfId="0" applyNumberFormat="1" applyFont="1" applyFill="1" applyBorder="1" applyAlignment="1">
      <alignment/>
    </xf>
    <xf numFmtId="3" fontId="0" fillId="2" borderId="41" xfId="0" applyNumberFormat="1" applyFill="1" applyBorder="1" applyAlignment="1">
      <alignment/>
    </xf>
    <xf numFmtId="4" fontId="0" fillId="9" borderId="41" xfId="0" applyNumberFormat="1" applyFill="1" applyBorder="1" applyAlignment="1">
      <alignment/>
    </xf>
    <xf numFmtId="4" fontId="3" fillId="9" borderId="41" xfId="0" applyNumberFormat="1" applyFont="1" applyFill="1" applyBorder="1" applyAlignment="1">
      <alignment/>
    </xf>
    <xf numFmtId="38" fontId="2" fillId="9" borderId="41" xfId="0" applyNumberFormat="1" applyFont="1" applyFill="1" applyBorder="1" applyAlignment="1">
      <alignment/>
    </xf>
    <xf numFmtId="0" fontId="0" fillId="2" borderId="87" xfId="0" applyFill="1" applyBorder="1" applyAlignment="1">
      <alignment wrapText="1"/>
    </xf>
    <xf numFmtId="4" fontId="0" fillId="9" borderId="41" xfId="0" applyNumberFormat="1" applyFill="1" applyBorder="1" applyAlignment="1">
      <alignment wrapText="1"/>
    </xf>
    <xf numFmtId="0" fontId="0" fillId="0" borderId="112" xfId="0" applyBorder="1" applyAlignment="1">
      <alignment wrapText="1"/>
    </xf>
    <xf numFmtId="0" fontId="0" fillId="2" borderId="113" xfId="0" applyFill="1" applyBorder="1" applyAlignment="1">
      <alignment wrapText="1"/>
    </xf>
    <xf numFmtId="0" fontId="2" fillId="0" borderId="114" xfId="0" applyFont="1" applyBorder="1" applyAlignment="1">
      <alignment wrapText="1"/>
    </xf>
    <xf numFmtId="0" fontId="6" fillId="0" borderId="23" xfId="0" applyFont="1" applyBorder="1" applyAlignment="1">
      <alignment wrapText="1"/>
    </xf>
    <xf numFmtId="0" fontId="10" fillId="7" borderId="2" xfId="0" applyFont="1" applyFill="1" applyBorder="1" applyAlignment="1">
      <alignment horizontal="center" vertical="center" wrapText="1"/>
    </xf>
    <xf numFmtId="10" fontId="0" fillId="0" borderId="59" xfId="0" applyNumberFormat="1" applyFill="1" applyBorder="1" applyAlignment="1">
      <alignment/>
    </xf>
    <xf numFmtId="0" fontId="26" fillId="7" borderId="0" xfId="0" applyFont="1" applyFill="1" applyBorder="1" applyAlignment="1">
      <alignment/>
    </xf>
    <xf numFmtId="0" fontId="0" fillId="7" borderId="0" xfId="0" applyFill="1" applyBorder="1" applyAlignment="1">
      <alignment/>
    </xf>
    <xf numFmtId="0" fontId="0" fillId="0" borderId="4" xfId="0" applyFont="1" applyFill="1" applyBorder="1" applyAlignment="1">
      <alignment wrapText="1"/>
    </xf>
    <xf numFmtId="4" fontId="0" fillId="0" borderId="4" xfId="0" applyNumberFormat="1" applyFont="1" applyFill="1" applyBorder="1" applyAlignment="1">
      <alignment wrapText="1"/>
    </xf>
    <xf numFmtId="3" fontId="0" fillId="0" borderId="4" xfId="0" applyNumberFormat="1" applyFont="1" applyFill="1" applyBorder="1" applyAlignment="1">
      <alignment wrapText="1"/>
    </xf>
    <xf numFmtId="0" fontId="3" fillId="3" borderId="4" xfId="0" applyFont="1" applyFill="1" applyBorder="1" applyAlignment="1">
      <alignment wrapText="1"/>
    </xf>
    <xf numFmtId="3" fontId="3" fillId="3" borderId="4" xfId="0" applyNumberFormat="1" applyFont="1" applyFill="1" applyBorder="1" applyAlignment="1">
      <alignment wrapText="1"/>
    </xf>
    <xf numFmtId="4" fontId="9" fillId="4" borderId="4" xfId="0" applyNumberFormat="1" applyFont="1" applyFill="1" applyBorder="1" applyAlignment="1">
      <alignment wrapText="1"/>
    </xf>
    <xf numFmtId="0" fontId="0" fillId="0" borderId="31" xfId="0" applyFill="1" applyBorder="1" applyAlignment="1">
      <alignment/>
    </xf>
    <xf numFmtId="3" fontId="0" fillId="0" borderId="97" xfId="0" applyNumberFormat="1" applyBorder="1" applyAlignment="1">
      <alignment/>
    </xf>
    <xf numFmtId="3" fontId="0" fillId="0" borderId="115" xfId="0" applyNumberFormat="1" applyBorder="1" applyAlignment="1">
      <alignment/>
    </xf>
    <xf numFmtId="179" fontId="2" fillId="0" borderId="115" xfId="0" applyNumberFormat="1" applyFont="1" applyBorder="1" applyAlignment="1">
      <alignment/>
    </xf>
    <xf numFmtId="179" fontId="2" fillId="0" borderId="97" xfId="0" applyNumberFormat="1" applyFont="1" applyBorder="1" applyAlignment="1">
      <alignment/>
    </xf>
    <xf numFmtId="177" fontId="0" fillId="0" borderId="3" xfId="0" applyNumberFormat="1" applyBorder="1" applyAlignment="1">
      <alignment/>
    </xf>
    <xf numFmtId="38" fontId="0" fillId="0" borderId="31" xfId="0" applyNumberFormat="1" applyBorder="1" applyAlignment="1">
      <alignment/>
    </xf>
    <xf numFmtId="3" fontId="0" fillId="0" borderId="31" xfId="0" applyNumberFormat="1" applyBorder="1" applyAlignment="1">
      <alignment/>
    </xf>
    <xf numFmtId="38" fontId="6" fillId="0" borderId="0" xfId="0" applyNumberFormat="1" applyFont="1" applyAlignment="1">
      <alignment horizontal="right" vertical="center"/>
    </xf>
    <xf numFmtId="0" fontId="6" fillId="0" borderId="5" xfId="0" applyFont="1" applyBorder="1" applyAlignment="1">
      <alignment vertical="center" wrapText="1"/>
    </xf>
    <xf numFmtId="0" fontId="0" fillId="0" borderId="7" xfId="0" applyBorder="1" applyAlignment="1">
      <alignment/>
    </xf>
    <xf numFmtId="0" fontId="6" fillId="0" borderId="7" xfId="0" applyFont="1" applyBorder="1" applyAlignment="1">
      <alignment vertical="top" wrapText="1"/>
    </xf>
    <xf numFmtId="0" fontId="0" fillId="0" borderId="7" xfId="0"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vertical="top"/>
    </xf>
    <xf numFmtId="0" fontId="34" fillId="0" borderId="7" xfId="0" applyFont="1" applyBorder="1" applyAlignment="1">
      <alignment vertical="top"/>
    </xf>
    <xf numFmtId="0" fontId="6" fillId="0" borderId="7" xfId="0" applyFont="1" applyBorder="1" applyAlignment="1">
      <alignment wrapText="1"/>
    </xf>
    <xf numFmtId="0" fontId="0" fillId="0" borderId="16" xfId="0" applyBorder="1" applyAlignment="1">
      <alignment/>
    </xf>
    <xf numFmtId="0" fontId="0" fillId="0" borderId="1" xfId="0" applyBorder="1" applyAlignment="1">
      <alignment vertical="center" wrapText="1"/>
    </xf>
    <xf numFmtId="0" fontId="0" fillId="0" borderId="36" xfId="0" applyFont="1" applyBorder="1" applyAlignment="1">
      <alignment vertical="center" wrapText="1"/>
    </xf>
    <xf numFmtId="0" fontId="0" fillId="0" borderId="36" xfId="0"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wrapText="1"/>
    </xf>
    <xf numFmtId="0" fontId="34" fillId="0" borderId="0" xfId="0" applyFont="1" applyFill="1" applyBorder="1" applyAlignment="1" applyProtection="1">
      <alignment wrapText="1"/>
      <protection/>
    </xf>
    <xf numFmtId="0" fontId="0" fillId="0" borderId="0" xfId="0" applyFont="1" applyFill="1" applyBorder="1" applyAlignment="1">
      <alignment wrapText="1"/>
    </xf>
    <xf numFmtId="0" fontId="26" fillId="6" borderId="0" xfId="0" applyFont="1" applyFill="1" applyAlignment="1">
      <alignment horizontal="center" vertical="center" wrapText="1"/>
    </xf>
    <xf numFmtId="0" fontId="50" fillId="6" borderId="0" xfId="0" applyFont="1" applyFill="1" applyAlignment="1">
      <alignment horizontal="center"/>
    </xf>
    <xf numFmtId="0" fontId="6" fillId="0" borderId="29" xfId="0" applyFont="1" applyBorder="1" applyAlignment="1">
      <alignment horizontal="center" vertical="center" wrapText="1"/>
    </xf>
    <xf numFmtId="0" fontId="6" fillId="0" borderId="94" xfId="0" applyFont="1" applyBorder="1" applyAlignment="1">
      <alignment horizontal="center" vertical="center" wrapText="1"/>
    </xf>
    <xf numFmtId="0" fontId="43" fillId="0" borderId="0" xfId="0" applyFont="1" applyAlignment="1">
      <alignment wrapText="1"/>
    </xf>
    <xf numFmtId="0" fontId="44" fillId="0" borderId="0" xfId="0" applyFont="1" applyAlignment="1">
      <alignment wrapText="1"/>
    </xf>
    <xf numFmtId="0" fontId="1" fillId="0" borderId="29" xfId="0" applyFont="1" applyBorder="1" applyAlignment="1">
      <alignment horizontal="center" vertical="center" wrapText="1"/>
    </xf>
    <xf numFmtId="0" fontId="0" fillId="0" borderId="94" xfId="0" applyBorder="1" applyAlignment="1">
      <alignment horizontal="center" vertical="center" wrapText="1"/>
    </xf>
    <xf numFmtId="0" fontId="28" fillId="0" borderId="0" xfId="0" applyFont="1" applyAlignment="1">
      <alignment wrapText="1"/>
    </xf>
    <xf numFmtId="0" fontId="0" fillId="0" borderId="0" xfId="0" applyAlignment="1">
      <alignment wrapText="1"/>
    </xf>
    <xf numFmtId="0" fontId="10" fillId="0" borderId="0" xfId="0" applyFont="1" applyAlignment="1">
      <alignment wrapText="1"/>
    </xf>
    <xf numFmtId="0" fontId="1" fillId="0" borderId="1" xfId="0" applyFont="1" applyFill="1" applyBorder="1" applyAlignment="1">
      <alignment vertical="center"/>
    </xf>
    <xf numFmtId="0" fontId="0" fillId="0" borderId="1" xfId="0" applyBorder="1" applyAlignment="1">
      <alignment/>
    </xf>
    <xf numFmtId="0" fontId="28" fillId="0" borderId="0" xfId="0" applyFont="1" applyAlignment="1">
      <alignment vertical="center" wrapText="1"/>
    </xf>
    <xf numFmtId="0" fontId="0" fillId="0" borderId="0" xfId="0" applyAlignment="1">
      <alignment vertical="center" wrapText="1"/>
    </xf>
    <xf numFmtId="0" fontId="28" fillId="3" borderId="62" xfId="0" applyFont="1" applyFill="1" applyBorder="1" applyAlignment="1">
      <alignment vertical="center" wrapText="1"/>
    </xf>
    <xf numFmtId="0" fontId="0" fillId="0" borderId="0" xfId="0" applyAlignment="1">
      <alignment vertical="center"/>
    </xf>
    <xf numFmtId="0" fontId="0" fillId="0" borderId="44" xfId="0" applyFont="1" applyBorder="1" applyAlignment="1">
      <alignment vertical="center" wrapText="1"/>
    </xf>
    <xf numFmtId="0" fontId="0" fillId="0" borderId="0" xfId="0" applyFont="1" applyFill="1" applyBorder="1" applyAlignment="1">
      <alignment vertical="center" wrapText="1"/>
    </xf>
    <xf numFmtId="0" fontId="0" fillId="0" borderId="44"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Buffer Income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'Buffer Builder'!$A$101:$A$110</c:f>
              <c:strCache>
                <c:ptCount val="10"/>
                <c:pt idx="0">
                  <c:v>  Installation Cost Share Payment</c:v>
                </c:pt>
                <c:pt idx="1">
                  <c:v>  Maintenance Cost Share Payment</c:v>
                </c:pt>
                <c:pt idx="2">
                  <c:v>  Land Rental Cost Share Payment</c:v>
                </c:pt>
                <c:pt idx="3">
                  <c:v>  Sign-Up or other one-time bonus</c:v>
                </c:pt>
                <c:pt idx="4">
                  <c:v>  Hay income</c:v>
                </c:pt>
                <c:pt idx="5">
                  <c:v>  Grass silage income</c:v>
                </c:pt>
                <c:pt idx="6">
                  <c:v>  Timber thinning income </c:v>
                </c:pt>
                <c:pt idx="7">
                  <c:v>  Timber harvest income (stumpage)</c:v>
                </c:pt>
                <c:pt idx="8">
                  <c:v>  Other Income #1</c:v>
                </c:pt>
                <c:pt idx="9">
                  <c:v>  Other Income #2</c:v>
                </c:pt>
              </c:strCache>
            </c:strRef>
          </c:cat>
          <c:val>
            <c:numRef>
              <c:f>'Buffer Builder'!$D$101:$D$110</c:f>
              <c:numCache>
                <c:ptCount val="10"/>
                <c:pt idx="0">
                  <c:v>0.36036037322068115</c:v>
                </c:pt>
                <c:pt idx="1">
                  <c:v>0.2504825168664411</c:v>
                </c:pt>
                <c:pt idx="2">
                  <c:v>0.3891571099128778</c:v>
                </c:pt>
                <c:pt idx="3">
                  <c:v>0</c:v>
                </c:pt>
                <c:pt idx="4">
                  <c:v>0</c:v>
                </c:pt>
                <c:pt idx="5">
                  <c:v>0</c:v>
                </c:pt>
                <c:pt idx="6">
                  <c:v>0</c:v>
                </c:pt>
                <c:pt idx="7">
                  <c:v>0</c:v>
                </c:pt>
                <c:pt idx="8">
                  <c:v>0</c:v>
                </c:pt>
                <c:pt idx="9">
                  <c:v>0</c:v>
                </c:pt>
              </c:numCache>
            </c:numRef>
          </c:val>
        </c:ser>
      </c:pieChart>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25" b="1" i="0" u="none" baseline="0">
                <a:latin typeface="Arial"/>
                <a:ea typeface="Arial"/>
                <a:cs typeface="Arial"/>
              </a:rPr>
              <a:t>Distribution of Buffer Cost</a:t>
            </a:r>
          </a:p>
        </c:rich>
      </c:tx>
      <c:layout>
        <c:manualLayout>
          <c:xMode val="factor"/>
          <c:yMode val="factor"/>
          <c:x val="0.186"/>
          <c:y val="0.0135"/>
        </c:manualLayout>
      </c:layout>
      <c:spPr>
        <a:noFill/>
        <a:ln>
          <a:noFill/>
        </a:ln>
      </c:spPr>
    </c:title>
    <c:plotArea>
      <c:layout>
        <c:manualLayout>
          <c:xMode val="edge"/>
          <c:yMode val="edge"/>
          <c:x val="0.1445"/>
          <c:y val="0.0525"/>
          <c:w val="0.22625"/>
          <c:h val="0.4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625" b="0" i="0" u="none" baseline="0">
                    <a:latin typeface="Arial"/>
                    <a:ea typeface="Arial"/>
                    <a:cs typeface="Arial"/>
                  </a:defRPr>
                </a:pPr>
              </a:p>
            </c:txPr>
            <c:showLegendKey val="0"/>
            <c:showVal val="0"/>
            <c:showBubbleSize val="0"/>
            <c:showCatName val="0"/>
            <c:showSerName val="0"/>
            <c:showLeaderLines val="1"/>
            <c:showPercent val="1"/>
          </c:dLbls>
          <c:cat>
            <c:strRef>
              <c:f>('Buffer Builder'!$A$115:$A$125,'Buffer Builder'!$A$128:$A$141)</c:f>
              <c:strCache>
                <c:ptCount val="25"/>
                <c:pt idx="0">
                  <c:v>  Survey and Stake buffer area</c:v>
                </c:pt>
                <c:pt idx="1">
                  <c:v>  Site Preparation </c:v>
                </c:pt>
                <c:pt idx="2">
                  <c:v>  Tillage Costs (buffer estab. Only)</c:v>
                </c:pt>
                <c:pt idx="3">
                  <c:v>  Grass Filter strip installation</c:v>
                </c:pt>
                <c:pt idx="4">
                  <c:v>  Fertilizer (initial establishment of hay and grass buffers)</c:v>
                </c:pt>
                <c:pt idx="5">
                  <c:v>  Seed (hay and grass silage)</c:v>
                </c:pt>
                <c:pt idx="6">
                  <c:v>  Tree/shrub Seedling &amp; Planting</c:v>
                </c:pt>
                <c:pt idx="7">
                  <c:v>  Seedling/shrub protectors + installation</c:v>
                </c:pt>
                <c:pt idx="8">
                  <c:v>  Re-planting trees/shrubs</c:v>
                </c:pt>
                <c:pt idx="9">
                  <c:v>  Fencing + installation (incl. Gates)</c:v>
                </c:pt>
                <c:pt idx="10">
                  <c:v>  Other Cost(s)</c:v>
                </c:pt>
                <c:pt idx="11">
                  <c:v>  Mowing (grass)</c:v>
                </c:pt>
                <c:pt idx="12">
                  <c:v>  Weed Control </c:v>
                </c:pt>
                <c:pt idx="13">
                  <c:v>  Seed (hay and grass silage)</c:v>
                </c:pt>
                <c:pt idx="14">
                  <c:v>  Tillage costs (ongoing)</c:v>
                </c:pt>
                <c:pt idx="15">
                  <c:v>  Fertilizer</c:v>
                </c:pt>
                <c:pt idx="16">
                  <c:v>  Fence Repair &amp; Maintenance</c:v>
                </c:pt>
                <c:pt idx="17">
                  <c:v>  Thinning (trees)</c:v>
                </c:pt>
                <c:pt idx="18">
                  <c:v>  First Pruning (trees)</c:v>
                </c:pt>
                <c:pt idx="19">
                  <c:v>  Second Pruning (trees)</c:v>
                </c:pt>
                <c:pt idx="20">
                  <c:v>  Harvest (hay, grass silage, timber)</c:v>
                </c:pt>
                <c:pt idx="21">
                  <c:v>  Hauling (timber)</c:v>
                </c:pt>
                <c:pt idx="22">
                  <c:v>  Foregone income from the buffer area (acres occupied by buffer x net income loss per acre)</c:v>
                </c:pt>
                <c:pt idx="23">
                  <c:v>  Foregone income from land made spatially unviable by buffer</c:v>
                </c:pt>
                <c:pt idx="24">
                  <c:v>  Other Cost(s)</c:v>
                </c:pt>
              </c:strCache>
            </c:strRef>
          </c:cat>
          <c:val>
            <c:numRef>
              <c:f>('Buffer Builder'!$D$115:$D$125,'Buffer Builder'!$D$128:$D$141)</c:f>
              <c:numCache>
                <c:ptCount val="25"/>
                <c:pt idx="0">
                  <c:v>0</c:v>
                </c:pt>
                <c:pt idx="1">
                  <c:v>0.21176039209700734</c:v>
                </c:pt>
                <c:pt idx="2">
                  <c:v>0</c:v>
                </c:pt>
                <c:pt idx="3">
                  <c:v>0</c:v>
                </c:pt>
                <c:pt idx="4">
                  <c:v>0</c:v>
                </c:pt>
                <c:pt idx="5">
                  <c:v>0</c:v>
                </c:pt>
                <c:pt idx="6">
                  <c:v>0.2366733794025376</c:v>
                </c:pt>
                <c:pt idx="7">
                  <c:v>0.14150576789541194</c:v>
                </c:pt>
                <c:pt idx="8">
                  <c:v>0.02188178433825236</c:v>
                </c:pt>
                <c:pt idx="9">
                  <c:v>0</c:v>
                </c:pt>
                <c:pt idx="10">
                  <c:v>0</c:v>
                </c:pt>
                <c:pt idx="11">
                  <c:v>0</c:v>
                </c:pt>
                <c:pt idx="12">
                  <c:v>0.38817867626679076</c:v>
                </c:pt>
                <c:pt idx="13">
                  <c:v>0</c:v>
                </c:pt>
                <c:pt idx="14">
                  <c:v>0</c:v>
                </c:pt>
                <c:pt idx="15">
                  <c:v>0</c:v>
                </c:pt>
                <c:pt idx="16">
                  <c:v>0</c:v>
                </c:pt>
                <c:pt idx="17">
                  <c:v>0</c:v>
                </c:pt>
                <c:pt idx="18">
                  <c:v>0</c:v>
                </c:pt>
                <c:pt idx="19">
                  <c:v>0</c:v>
                </c:pt>
                <c:pt idx="20">
                  <c:v>0</c:v>
                </c:pt>
                <c:pt idx="21">
                  <c:v>0</c:v>
                </c:pt>
                <c:pt idx="22">
                  <c:v>0</c:v>
                </c:pt>
                <c:pt idx="23">
                  <c:v>0</c:v>
                </c:pt>
                <c:pt idx="24">
                  <c:v>0</c:v>
                </c:pt>
              </c:numCache>
            </c:numRef>
          </c:val>
        </c:ser>
        <c:firstSliceAng val="50"/>
      </c:pieChart>
      <c:spPr>
        <a:noFill/>
        <a:ln>
          <a:noFill/>
        </a:ln>
      </c:spPr>
    </c:plotArea>
    <c:legend>
      <c:legendPos val="b"/>
      <c:layout>
        <c:manualLayout>
          <c:xMode val="edge"/>
          <c:yMode val="edge"/>
          <c:x val="0.00075"/>
          <c:y val="0.61075"/>
          <c:w val="0.983"/>
          <c:h val="0.389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3457575</xdr:colOff>
      <xdr:row>11</xdr:row>
      <xdr:rowOff>123825</xdr:rowOff>
    </xdr:from>
    <xdr:to>
      <xdr:col>0</xdr:col>
      <xdr:colOff>7058025</xdr:colOff>
      <xdr:row>26</xdr:row>
      <xdr:rowOff>85725</xdr:rowOff>
    </xdr:to>
    <xdr:pic>
      <xdr:nvPicPr>
        <xdr:cNvPr id="1" name="Picture 2"/>
        <xdr:cNvPicPr preferRelativeResize="1">
          <a:picLocks noChangeAspect="1"/>
        </xdr:cNvPicPr>
      </xdr:nvPicPr>
      <xdr:blipFill>
        <a:blip r:embed="rId1"/>
        <a:stretch>
          <a:fillRect/>
        </a:stretch>
      </xdr:blipFill>
      <xdr:spPr>
        <a:xfrm>
          <a:off x="3457575" y="3057525"/>
          <a:ext cx="3600450" cy="2390775"/>
        </a:xfrm>
        <a:prstGeom prst="rect">
          <a:avLst/>
        </a:prstGeom>
        <a:noFill/>
        <a:ln w="9525" cmpd="sng">
          <a:solidFill>
            <a:srgbClr val="000000"/>
          </a:solidFill>
          <a:headEnd type="none"/>
          <a:tailEnd type="none"/>
        </a:ln>
      </xdr:spPr>
    </xdr:pic>
    <xdr:clientData/>
  </xdr:twoCellAnchor>
  <xdr:twoCellAnchor editAs="oneCell">
    <xdr:from>
      <xdr:col>0</xdr:col>
      <xdr:colOff>133350</xdr:colOff>
      <xdr:row>18</xdr:row>
      <xdr:rowOff>47625</xdr:rowOff>
    </xdr:from>
    <xdr:to>
      <xdr:col>0</xdr:col>
      <xdr:colOff>3648075</xdr:colOff>
      <xdr:row>32</xdr:row>
      <xdr:rowOff>123825</xdr:rowOff>
    </xdr:to>
    <xdr:pic>
      <xdr:nvPicPr>
        <xdr:cNvPr id="2" name="Picture 3"/>
        <xdr:cNvPicPr preferRelativeResize="1">
          <a:picLocks noChangeAspect="1"/>
        </xdr:cNvPicPr>
      </xdr:nvPicPr>
      <xdr:blipFill>
        <a:blip r:embed="rId2"/>
        <a:stretch>
          <a:fillRect/>
        </a:stretch>
      </xdr:blipFill>
      <xdr:spPr>
        <a:xfrm>
          <a:off x="133350" y="4114800"/>
          <a:ext cx="3514725" cy="234315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152400</xdr:rowOff>
    </xdr:from>
    <xdr:to>
      <xdr:col>4</xdr:col>
      <xdr:colOff>571500</xdr:colOff>
      <xdr:row>10</xdr:row>
      <xdr:rowOff>152400</xdr:rowOff>
    </xdr:to>
    <xdr:sp>
      <xdr:nvSpPr>
        <xdr:cNvPr id="1" name="Line 3"/>
        <xdr:cNvSpPr>
          <a:spLocks/>
        </xdr:cNvSpPr>
      </xdr:nvSpPr>
      <xdr:spPr>
        <a:xfrm>
          <a:off x="133350" y="3371850"/>
          <a:ext cx="5514975" cy="0"/>
        </a:xfrm>
        <a:prstGeom prst="line">
          <a:avLst/>
        </a:prstGeom>
        <a:noFill/>
        <a:ln w="444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22</xdr:row>
      <xdr:rowOff>76200</xdr:rowOff>
    </xdr:from>
    <xdr:to>
      <xdr:col>5</xdr:col>
      <xdr:colOff>238125</xdr:colOff>
      <xdr:row>43</xdr:row>
      <xdr:rowOff>0</xdr:rowOff>
    </xdr:to>
    <xdr:graphicFrame>
      <xdr:nvGraphicFramePr>
        <xdr:cNvPr id="2" name="Chart 12"/>
        <xdr:cNvGraphicFramePr/>
      </xdr:nvGraphicFramePr>
      <xdr:xfrm>
        <a:off x="209550" y="6496050"/>
        <a:ext cx="5905500" cy="3914775"/>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0</xdr:row>
      <xdr:rowOff>9525</xdr:rowOff>
    </xdr:from>
    <xdr:to>
      <xdr:col>29</xdr:col>
      <xdr:colOff>238125</xdr:colOff>
      <xdr:row>27</xdr:row>
      <xdr:rowOff>38100</xdr:rowOff>
    </xdr:to>
    <xdr:graphicFrame>
      <xdr:nvGraphicFramePr>
        <xdr:cNvPr id="3" name="Chart 13"/>
        <xdr:cNvGraphicFramePr/>
      </xdr:nvGraphicFramePr>
      <xdr:xfrm>
        <a:off x="12658725" y="9525"/>
        <a:ext cx="13439775" cy="7515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2486025</xdr:colOff>
      <xdr:row>211</xdr:row>
      <xdr:rowOff>66675</xdr:rowOff>
    </xdr:from>
    <xdr:ext cx="76200" cy="200025"/>
    <xdr:sp>
      <xdr:nvSpPr>
        <xdr:cNvPr id="1" name="TextBox 2"/>
        <xdr:cNvSpPr txBox="1">
          <a:spLocks noChangeArrowheads="1"/>
        </xdr:cNvSpPr>
      </xdr:nvSpPr>
      <xdr:spPr>
        <a:xfrm>
          <a:off x="2486025" y="66970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4"/>
  <sheetViews>
    <sheetView showGridLines="0" tabSelected="1" zoomScale="95" zoomScaleNormal="95" workbookViewId="0" topLeftCell="A1">
      <selection activeCell="A11" sqref="A11"/>
    </sheetView>
  </sheetViews>
  <sheetFormatPr defaultColWidth="9.140625" defaultRowHeight="12.75"/>
  <cols>
    <col min="1" max="1" width="107.8515625" style="0" customWidth="1"/>
  </cols>
  <sheetData>
    <row r="1" ht="12.75">
      <c r="A1" s="729"/>
    </row>
    <row r="2" ht="30">
      <c r="A2" s="730" t="s">
        <v>576</v>
      </c>
    </row>
    <row r="3" s="572" customFormat="1" ht="27">
      <c r="A3" s="731" t="s">
        <v>573</v>
      </c>
    </row>
    <row r="4" s="572" customFormat="1" ht="27">
      <c r="A4" s="731" t="s">
        <v>574</v>
      </c>
    </row>
    <row r="5" ht="18">
      <c r="A5" s="732"/>
    </row>
    <row r="6" ht="18">
      <c r="A6" s="733"/>
    </row>
    <row r="7" ht="26.25">
      <c r="A7" s="735" t="s">
        <v>699</v>
      </c>
    </row>
    <row r="8" ht="18">
      <c r="A8" s="734"/>
    </row>
    <row r="9" ht="18">
      <c r="A9" s="734" t="s">
        <v>669</v>
      </c>
    </row>
    <row r="10" ht="18">
      <c r="A10" s="734"/>
    </row>
    <row r="11" ht="18">
      <c r="A11" s="734" t="s">
        <v>575</v>
      </c>
    </row>
    <row r="12" ht="12.75">
      <c r="A12" s="54"/>
    </row>
    <row r="13" ht="12.75">
      <c r="A13" s="54"/>
    </row>
    <row r="14" ht="12.75">
      <c r="A14" s="54"/>
    </row>
    <row r="15" ht="12.75">
      <c r="A15" s="54"/>
    </row>
    <row r="16" ht="12.75">
      <c r="A16" s="54"/>
    </row>
    <row r="17" ht="12.75">
      <c r="A17" s="54"/>
    </row>
    <row r="18" ht="12.75">
      <c r="A18" s="54"/>
    </row>
    <row r="19" ht="12.75">
      <c r="A19" s="54"/>
    </row>
    <row r="20" ht="12.75">
      <c r="A20" s="54"/>
    </row>
    <row r="21" ht="12.75">
      <c r="A21" s="54"/>
    </row>
    <row r="22" ht="12.75">
      <c r="A22" s="54"/>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sheetData>
  <printOptions/>
  <pageMargins left="0.52" right="0.52" top="0.78" bottom="0.83" header="0.35" footer="0.45"/>
  <pageSetup orientation="portrait" scale="91" r:id="rId2"/>
  <rowBreaks count="1" manualBreakCount="1">
    <brk id="31" max="0" man="1"/>
  </rowBreaks>
  <drawing r:id="rId1"/>
</worksheet>
</file>

<file path=xl/worksheets/sheet10.xml><?xml version="1.0" encoding="utf-8"?>
<worksheet xmlns="http://schemas.openxmlformats.org/spreadsheetml/2006/main" xmlns:r="http://schemas.openxmlformats.org/officeDocument/2006/relationships">
  <dimension ref="A2:V67"/>
  <sheetViews>
    <sheetView workbookViewId="0" topLeftCell="A1">
      <selection activeCell="A1" sqref="A1"/>
    </sheetView>
  </sheetViews>
  <sheetFormatPr defaultColWidth="9.140625" defaultRowHeight="12.75"/>
  <cols>
    <col min="1" max="1" width="36.00390625" style="0" customWidth="1"/>
    <col min="2" max="2" width="17.28125" style="0" customWidth="1"/>
    <col min="3" max="21" width="9.7109375" style="0" customWidth="1"/>
    <col min="22" max="22" width="10.140625" style="0" bestFit="1" customWidth="1"/>
  </cols>
  <sheetData>
    <row r="2" ht="18">
      <c r="A2" s="712" t="s">
        <v>627</v>
      </c>
    </row>
    <row r="4" ht="12.75">
      <c r="A4" s="239" t="s">
        <v>628</v>
      </c>
    </row>
    <row r="5" spans="1:2" ht="12.75">
      <c r="A5" t="s">
        <v>629</v>
      </c>
      <c r="B5" t="s">
        <v>630</v>
      </c>
    </row>
    <row r="6" spans="1:2" ht="12.75">
      <c r="A6" t="s">
        <v>631</v>
      </c>
      <c r="B6" s="698">
        <v>90</v>
      </c>
    </row>
    <row r="7" spans="1:2" ht="12.75">
      <c r="A7" t="s">
        <v>632</v>
      </c>
      <c r="B7" s="698">
        <v>312</v>
      </c>
    </row>
    <row r="8" spans="1:2" ht="12.75">
      <c r="A8" t="s">
        <v>633</v>
      </c>
      <c r="B8" s="698">
        <v>407</v>
      </c>
    </row>
    <row r="10" ht="12.75">
      <c r="A10" s="239" t="s">
        <v>634</v>
      </c>
    </row>
    <row r="11" spans="1:2" ht="12.75">
      <c r="A11" t="s">
        <v>629</v>
      </c>
      <c r="B11" t="s">
        <v>635</v>
      </c>
    </row>
    <row r="12" spans="1:2" ht="12.75">
      <c r="A12" t="s">
        <v>636</v>
      </c>
      <c r="B12" s="698">
        <v>240</v>
      </c>
    </row>
    <row r="13" spans="1:2" ht="12.75">
      <c r="A13" t="s">
        <v>637</v>
      </c>
      <c r="B13" s="698">
        <v>1260</v>
      </c>
    </row>
    <row r="14" spans="1:2" ht="12.75">
      <c r="A14" t="s">
        <v>638</v>
      </c>
      <c r="B14" s="698">
        <v>1500</v>
      </c>
    </row>
    <row r="15" ht="12.75">
      <c r="B15" s="715"/>
    </row>
    <row r="16" spans="1:2" ht="12.75">
      <c r="A16" s="239" t="s">
        <v>670</v>
      </c>
      <c r="B16" s="715"/>
    </row>
    <row r="17" spans="1:2" ht="12.75">
      <c r="A17" t="s">
        <v>629</v>
      </c>
      <c r="B17" s="736" t="s">
        <v>635</v>
      </c>
    </row>
    <row r="18" spans="1:2" ht="12.75">
      <c r="A18" s="698" t="s">
        <v>671</v>
      </c>
      <c r="B18" s="698"/>
    </row>
    <row r="19" spans="1:2" ht="12.75">
      <c r="A19" s="698" t="s">
        <v>672</v>
      </c>
      <c r="B19" s="698"/>
    </row>
    <row r="20" spans="1:2" ht="12.75">
      <c r="A20" s="698" t="s">
        <v>673</v>
      </c>
      <c r="B20" s="698"/>
    </row>
    <row r="21" ht="12.75">
      <c r="B21" s="715"/>
    </row>
    <row r="22" ht="12.75">
      <c r="B22" s="715"/>
    </row>
    <row r="23" spans="1:2" ht="12.75">
      <c r="A23" s="239" t="s">
        <v>654</v>
      </c>
      <c r="B23" s="715"/>
    </row>
    <row r="24" spans="1:2" ht="12.75">
      <c r="A24" t="s">
        <v>653</v>
      </c>
      <c r="B24" s="714">
        <f>8900/2000</f>
        <v>4.45</v>
      </c>
    </row>
    <row r="25" spans="1:2" ht="12.75">
      <c r="A25" t="s">
        <v>648</v>
      </c>
      <c r="B25" s="714">
        <f>8216/2000</f>
        <v>4.108</v>
      </c>
    </row>
    <row r="26" spans="1:2" ht="12.75">
      <c r="A26" t="s">
        <v>674</v>
      </c>
      <c r="B26" s="698"/>
    </row>
    <row r="27" ht="22.5" customHeight="1">
      <c r="A27" s="697" t="s">
        <v>668</v>
      </c>
    </row>
    <row r="28" ht="16.5" customHeight="1">
      <c r="B28" t="s">
        <v>331</v>
      </c>
    </row>
    <row r="29" spans="2:22" s="699" customFormat="1" ht="12.75">
      <c r="B29" s="699">
        <v>0</v>
      </c>
      <c r="C29" s="699">
        <v>10</v>
      </c>
      <c r="D29" s="699">
        <v>15</v>
      </c>
      <c r="E29" s="699">
        <v>20</v>
      </c>
      <c r="F29" s="699">
        <v>25</v>
      </c>
      <c r="G29" s="699">
        <v>30</v>
      </c>
      <c r="H29" s="699">
        <v>35</v>
      </c>
      <c r="I29" s="699">
        <v>40</v>
      </c>
      <c r="J29" s="699">
        <v>45</v>
      </c>
      <c r="K29" s="699">
        <v>50</v>
      </c>
      <c r="L29" s="699">
        <v>55</v>
      </c>
      <c r="M29" s="699">
        <v>60</v>
      </c>
      <c r="N29" s="699">
        <v>65</v>
      </c>
      <c r="O29" s="699">
        <v>70</v>
      </c>
      <c r="P29" s="699">
        <v>75</v>
      </c>
      <c r="Q29" s="699">
        <v>80</v>
      </c>
      <c r="R29" s="699">
        <v>85</v>
      </c>
      <c r="S29" s="699">
        <v>90</v>
      </c>
      <c r="T29" s="699">
        <v>95</v>
      </c>
      <c r="U29" s="699">
        <v>100</v>
      </c>
      <c r="V29" s="699">
        <v>105</v>
      </c>
    </row>
    <row r="30" ht="12.75">
      <c r="A30" s="239" t="s">
        <v>164</v>
      </c>
    </row>
    <row r="31" spans="1:5" ht="12.75">
      <c r="A31" t="s">
        <v>391</v>
      </c>
      <c r="B31" s="737" t="s">
        <v>675</v>
      </c>
      <c r="E31" s="700"/>
    </row>
    <row r="32" spans="1:9" ht="12.75">
      <c r="A32" t="s">
        <v>639</v>
      </c>
      <c r="E32" s="700"/>
      <c r="I32" s="700"/>
    </row>
    <row r="33" spans="9:13" ht="12.75">
      <c r="I33" s="700"/>
      <c r="M33" s="700"/>
    </row>
    <row r="34" spans="9:13" ht="12.75">
      <c r="I34" s="701"/>
      <c r="M34" s="700"/>
    </row>
    <row r="35" spans="1:13" ht="12.75">
      <c r="A35" s="239" t="s">
        <v>640</v>
      </c>
      <c r="I35" s="701"/>
      <c r="M35" s="701"/>
    </row>
    <row r="36" spans="1:17" ht="12.75">
      <c r="A36" t="s">
        <v>391</v>
      </c>
      <c r="B36" s="737" t="s">
        <v>685</v>
      </c>
      <c r="E36" s="702"/>
      <c r="H36" s="702"/>
      <c r="M36" s="701"/>
      <c r="Q36" s="701"/>
    </row>
    <row r="37" spans="1:17" ht="12.75">
      <c r="A37" t="s">
        <v>641</v>
      </c>
      <c r="E37" s="702"/>
      <c r="H37" s="702"/>
      <c r="M37" s="571"/>
      <c r="O37" s="702"/>
      <c r="Q37" s="701"/>
    </row>
    <row r="38" spans="13:22" ht="12.75">
      <c r="M38" s="571"/>
      <c r="O38" s="702"/>
      <c r="Q38" s="571"/>
      <c r="V38" s="702"/>
    </row>
    <row r="39" spans="15:22" ht="12.75">
      <c r="O39" s="703"/>
      <c r="Q39" s="571"/>
      <c r="U39" s="571"/>
      <c r="V39" s="702"/>
    </row>
    <row r="40" spans="1:22" ht="12.75">
      <c r="A40" s="239" t="s">
        <v>674</v>
      </c>
      <c r="B40" s="737" t="s">
        <v>675</v>
      </c>
      <c r="O40" s="703"/>
      <c r="Q40" s="704"/>
      <c r="U40" s="571"/>
      <c r="V40" s="703"/>
    </row>
    <row r="41" spans="1:22" ht="12.75">
      <c r="A41" t="s">
        <v>391</v>
      </c>
      <c r="Q41" s="704"/>
      <c r="U41" s="704"/>
      <c r="V41" s="703"/>
    </row>
    <row r="42" spans="1:22" ht="12.75">
      <c r="A42" t="s">
        <v>641</v>
      </c>
      <c r="U42" s="704"/>
      <c r="V42" s="195"/>
    </row>
    <row r="43" spans="21:22" ht="12.75">
      <c r="U43" s="705"/>
      <c r="V43" s="195"/>
    </row>
    <row r="44" ht="12.75">
      <c r="U44" s="705"/>
    </row>
    <row r="45" ht="12.75">
      <c r="U45" s="705"/>
    </row>
    <row r="46" ht="12.75">
      <c r="U46" s="705"/>
    </row>
    <row r="47" ht="12.75">
      <c r="U47" s="705"/>
    </row>
    <row r="48" spans="1:21" s="706" customFormat="1" ht="15.75">
      <c r="A48" s="710" t="s">
        <v>642</v>
      </c>
      <c r="B48" s="710">
        <f>SUM(E48:V48)</f>
        <v>0</v>
      </c>
      <c r="E48" s="706">
        <f>E31*B6</f>
        <v>0</v>
      </c>
      <c r="I48" s="706">
        <f>I32*B7+I34*B6</f>
        <v>0</v>
      </c>
      <c r="M48" s="706">
        <f>M33*$B$8+M35*$B$7+M37*$B$6</f>
        <v>0</v>
      </c>
      <c r="Q48" s="706">
        <f>Q36*$B$8+Q38*$B$7+Q40*$B$6</f>
        <v>0</v>
      </c>
      <c r="U48" s="706">
        <f>U39*B8+U41*B7</f>
        <v>0</v>
      </c>
    </row>
    <row r="49" spans="1:22" s="707" customFormat="1" ht="15.75">
      <c r="A49" s="711" t="s">
        <v>643</v>
      </c>
      <c r="B49" s="711">
        <f>SUM(E49:V49)</f>
        <v>0</v>
      </c>
      <c r="H49" s="707">
        <f>H36*B12</f>
        <v>0</v>
      </c>
      <c r="O49" s="707">
        <f>O37*B13+O39*B12</f>
        <v>0</v>
      </c>
      <c r="V49" s="707">
        <f>V38*B14+V40*B13+V42*B12</f>
        <v>0</v>
      </c>
    </row>
    <row r="50" spans="1:2" s="739" customFormat="1" ht="15" customHeight="1" thickBot="1">
      <c r="A50" s="738" t="s">
        <v>676</v>
      </c>
      <c r="B50" s="738"/>
    </row>
    <row r="51" spans="1:21" s="708" customFormat="1" ht="12.75">
      <c r="A51" s="708" t="s">
        <v>644</v>
      </c>
      <c r="E51" s="708">
        <f>E48*Prices!$B$50/1000</f>
        <v>0</v>
      </c>
      <c r="I51" s="708">
        <f>I48*Prices!$B$50/1000</f>
        <v>0</v>
      </c>
      <c r="M51" s="708">
        <f>M48*Prices!$B$50/1000</f>
        <v>0</v>
      </c>
      <c r="Q51" s="708">
        <f>Q48*Prices!$B$50/1000</f>
        <v>0</v>
      </c>
      <c r="U51" s="708">
        <f>U48*Prices!$B$50/1000</f>
        <v>0</v>
      </c>
    </row>
    <row r="52" spans="1:22" s="707" customFormat="1" ht="12.75">
      <c r="A52" s="707" t="s">
        <v>645</v>
      </c>
      <c r="H52" s="707">
        <f>H49*Prices!$B$48/1000</f>
        <v>0</v>
      </c>
      <c r="O52" s="707">
        <f>O49*Prices!$B$48/1000</f>
        <v>0</v>
      </c>
      <c r="V52" s="707">
        <f>V49*Prices!$B$48/1000</f>
        <v>0</v>
      </c>
    </row>
    <row r="53" s="701" customFormat="1" ht="15" customHeight="1">
      <c r="A53" s="701" t="s">
        <v>677</v>
      </c>
    </row>
    <row r="55" spans="1:21" s="29" customFormat="1" ht="15.75">
      <c r="A55" s="709" t="s">
        <v>678</v>
      </c>
      <c r="B55" s="741">
        <f>SUM(C55:V55)</f>
        <v>0</v>
      </c>
      <c r="E55" s="29">
        <f>E51/(1+'Farm and Buffer Assumptions'!$C$29)^E29</f>
        <v>0</v>
      </c>
      <c r="I55" s="29">
        <f>I51/(1+'Farm and Buffer Assumptions'!$C$29)^I29</f>
        <v>0</v>
      </c>
      <c r="M55" s="29">
        <f>M51/(1+'Farm and Buffer Assumptions'!$C$29)^M29</f>
        <v>0</v>
      </c>
      <c r="Q55" s="29">
        <f>Q51/(1+'Farm and Buffer Assumptions'!$C$29)^Q29</f>
        <v>0</v>
      </c>
      <c r="U55" s="29">
        <f>U51/(1+'Farm and Buffer Assumptions'!$C$29)^U29</f>
        <v>0</v>
      </c>
    </row>
    <row r="56" spans="1:22" s="29" customFormat="1" ht="15.75">
      <c r="A56" s="709" t="s">
        <v>679</v>
      </c>
      <c r="B56" s="741">
        <f>SUM(C56:V56)</f>
        <v>0</v>
      </c>
      <c r="H56" s="29">
        <f>H52/(1+'Farm and Buffer Assumptions'!$C$29)^H29</f>
        <v>0</v>
      </c>
      <c r="O56" s="29">
        <f>O52/(1+'Farm and Buffer Assumptions'!$C$29)^O29</f>
        <v>0</v>
      </c>
      <c r="V56" s="29">
        <f>V52/(1+'Farm and Buffer Assumptions'!$C$29)^V29</f>
        <v>0</v>
      </c>
    </row>
    <row r="57" spans="1:2" ht="15.75">
      <c r="A57" s="697" t="s">
        <v>680</v>
      </c>
      <c r="B57" s="741">
        <f>SUM(C57:V57)</f>
        <v>0</v>
      </c>
    </row>
    <row r="58" ht="15.75">
      <c r="A58" s="697"/>
    </row>
    <row r="59" ht="12.75">
      <c r="A59" t="s">
        <v>649</v>
      </c>
    </row>
    <row r="60" ht="12.75">
      <c r="A60" t="s">
        <v>650</v>
      </c>
    </row>
    <row r="61" spans="1:21" s="706" customFormat="1" ht="15.75">
      <c r="A61" s="706" t="s">
        <v>651</v>
      </c>
      <c r="B61" s="710">
        <f>SUM(C61:V61)</f>
        <v>0</v>
      </c>
      <c r="E61" s="706">
        <f>E48/1000*$B$24</f>
        <v>0</v>
      </c>
      <c r="I61" s="706">
        <f>I48/1000*$B$24</f>
        <v>0</v>
      </c>
      <c r="M61" s="706">
        <f>M48/1000*$B$24</f>
        <v>0</v>
      </c>
      <c r="Q61" s="706">
        <f>Q48/1000*$B$24</f>
        <v>0</v>
      </c>
      <c r="U61" s="706">
        <f>U48/1000*$B$24</f>
        <v>0</v>
      </c>
    </row>
    <row r="62" spans="1:22" s="707" customFormat="1" ht="15.75">
      <c r="A62" s="707" t="s">
        <v>652</v>
      </c>
      <c r="B62" s="711">
        <f>SUM(C62:V62)</f>
        <v>0</v>
      </c>
      <c r="H62" s="707">
        <f>H49/1000*$B$25</f>
        <v>0</v>
      </c>
      <c r="O62" s="707">
        <f>O49/1000*$B$25</f>
        <v>0</v>
      </c>
      <c r="V62" s="707">
        <f>V49/1000*$B$25</f>
        <v>0</v>
      </c>
    </row>
    <row r="63" spans="1:22" s="29" customFormat="1" ht="12.75">
      <c r="A63" s="29" t="s">
        <v>655</v>
      </c>
      <c r="E63" s="29">
        <f>E61*Prices!$C$42</f>
        <v>0</v>
      </c>
      <c r="H63" s="29">
        <f>H62*Prices!$C$42</f>
        <v>0</v>
      </c>
      <c r="I63" s="29">
        <f>I61*Prices!$C$42</f>
        <v>0</v>
      </c>
      <c r="M63" s="29">
        <f>M61*Prices!$C$42</f>
        <v>0</v>
      </c>
      <c r="O63" s="29">
        <f>O62*Prices!$C$42</f>
        <v>0</v>
      </c>
      <c r="Q63" s="29">
        <f>Q61*Prices!$C$42</f>
        <v>0</v>
      </c>
      <c r="U63" s="29">
        <f>U61*Prices!$C$42</f>
        <v>0</v>
      </c>
      <c r="V63" s="29">
        <f>V62*Prices!$C$42</f>
        <v>0</v>
      </c>
    </row>
    <row r="64" spans="1:22" s="29" customFormat="1" ht="12.75">
      <c r="A64" s="29" t="s">
        <v>657</v>
      </c>
      <c r="E64" s="29">
        <f>E61*Prices!$C$44</f>
        <v>0</v>
      </c>
      <c r="H64" s="29">
        <f>H62*Prices!$C$44</f>
        <v>0</v>
      </c>
      <c r="I64" s="29">
        <f>I61*Prices!$C$44</f>
        <v>0</v>
      </c>
      <c r="M64" s="29">
        <f>M61*Prices!$C$44</f>
        <v>0</v>
      </c>
      <c r="O64" s="29">
        <f>O62*Prices!$C$44</f>
        <v>0</v>
      </c>
      <c r="Q64" s="29">
        <f>Q61*Prices!$C$44</f>
        <v>0</v>
      </c>
      <c r="U64" s="29">
        <f>U61*Prices!$C$44</f>
        <v>0</v>
      </c>
      <c r="V64" s="29">
        <f>V62*Prices!$C$44</f>
        <v>0</v>
      </c>
    </row>
    <row r="66" spans="1:22" s="29" customFormat="1" ht="15.75">
      <c r="A66" s="709" t="s">
        <v>681</v>
      </c>
      <c r="B66" s="742">
        <f>SUM(C66:V66)</f>
        <v>0</v>
      </c>
      <c r="E66" s="29">
        <f>E63/(1+'Farm and Buffer Assumptions'!$C$29)^E29</f>
        <v>0</v>
      </c>
      <c r="H66" s="29">
        <f>H63/(1+'Farm and Buffer Assumptions'!$C$29)^H29</f>
        <v>0</v>
      </c>
      <c r="I66" s="29">
        <f>I63/(1+'Farm and Buffer Assumptions'!$C$29)^I29</f>
        <v>0</v>
      </c>
      <c r="M66" s="29">
        <f>M63/(1+'Farm and Buffer Assumptions'!$C$29)^M29</f>
        <v>0</v>
      </c>
      <c r="O66" s="29">
        <f>O63/(1+'Farm and Buffer Assumptions'!$C$29)^O29</f>
        <v>0</v>
      </c>
      <c r="Q66" s="29">
        <f>Q63/(1+'Farm and Buffer Assumptions'!$C$29)^Q29</f>
        <v>0</v>
      </c>
      <c r="U66" s="29">
        <f>U63/(1+'Farm and Buffer Assumptions'!$C$29)^U29</f>
        <v>0</v>
      </c>
      <c r="V66" s="29">
        <f>V63/(1+'Farm and Buffer Assumptions'!$C$29)^V29</f>
        <v>0</v>
      </c>
    </row>
    <row r="67" spans="1:22" s="29" customFormat="1" ht="15.75">
      <c r="A67" s="709" t="s">
        <v>682</v>
      </c>
      <c r="B67" s="742">
        <f>SUM(C67:V67)</f>
        <v>0</v>
      </c>
      <c r="E67" s="29">
        <f>E64/(1+'Farm and Buffer Assumptions'!$C$29)^E29</f>
        <v>0</v>
      </c>
      <c r="H67" s="29">
        <f>H64/(1+'Farm and Buffer Assumptions'!$C$29)^H29</f>
        <v>0</v>
      </c>
      <c r="I67" s="29">
        <f>I64/(1+'Farm and Buffer Assumptions'!$C$29)^I29</f>
        <v>0</v>
      </c>
      <c r="M67" s="29">
        <f>M64/(1+'Farm and Buffer Assumptions'!$C$29)^M29</f>
        <v>0</v>
      </c>
      <c r="O67" s="29">
        <f>O64/(1+'Farm and Buffer Assumptions'!$C$29)^O29</f>
        <v>0</v>
      </c>
      <c r="Q67" s="29">
        <f>Q64/(1+'Farm and Buffer Assumptions'!$C$29)^Q29</f>
        <v>0</v>
      </c>
      <c r="U67" s="29">
        <f>U64/(1+'Farm and Buffer Assumptions'!$C$29)^U29</f>
        <v>0</v>
      </c>
      <c r="V67" s="29">
        <f>V64/(1+'Farm and Buffer Assumptions'!$C$29)^V29</f>
        <v>0</v>
      </c>
    </row>
  </sheetData>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G43"/>
  <sheetViews>
    <sheetView showGridLines="0" zoomScale="85" zoomScaleNormal="85" workbookViewId="0" topLeftCell="A1">
      <selection activeCell="A1" sqref="A1:E1"/>
    </sheetView>
  </sheetViews>
  <sheetFormatPr defaultColWidth="9.140625" defaultRowHeight="12.75"/>
  <cols>
    <col min="1" max="1" width="39.7109375" style="0" customWidth="1"/>
    <col min="2" max="2" width="11.28125" style="0" customWidth="1"/>
    <col min="3" max="4" width="12.57421875" style="0" customWidth="1"/>
    <col min="5" max="5" width="12.00390625" style="0" customWidth="1"/>
    <col min="6" max="6" width="10.00390625" style="0" customWidth="1"/>
    <col min="7" max="7" width="88.57421875" style="0" customWidth="1"/>
  </cols>
  <sheetData>
    <row r="1" spans="1:7" ht="57" customHeight="1" thickBot="1">
      <c r="A1" s="800" t="s">
        <v>695</v>
      </c>
      <c r="B1" s="801"/>
      <c r="C1" s="801"/>
      <c r="D1" s="801"/>
      <c r="E1" s="801"/>
      <c r="G1" s="674" t="s">
        <v>612</v>
      </c>
    </row>
    <row r="2" spans="1:7" ht="25.5" customHeight="1">
      <c r="A2" s="802" t="s">
        <v>601</v>
      </c>
      <c r="B2" s="614" t="s">
        <v>599</v>
      </c>
      <c r="C2" s="614" t="s">
        <v>600</v>
      </c>
      <c r="D2" s="614" t="s">
        <v>698</v>
      </c>
      <c r="E2" s="614" t="s">
        <v>66</v>
      </c>
      <c r="G2" s="784" t="s">
        <v>690</v>
      </c>
    </row>
    <row r="3" spans="1:7" ht="21" customHeight="1" thickBot="1">
      <c r="A3" s="803"/>
      <c r="B3" s="615" t="s">
        <v>598</v>
      </c>
      <c r="C3" s="615" t="s">
        <v>598</v>
      </c>
      <c r="D3" s="615" t="s">
        <v>145</v>
      </c>
      <c r="E3" s="615" t="s">
        <v>145</v>
      </c>
      <c r="G3" s="47"/>
    </row>
    <row r="4" spans="1:7" ht="21" customHeight="1">
      <c r="A4" s="606" t="s">
        <v>595</v>
      </c>
      <c r="B4" s="608">
        <f>'Budget w.o. Buffer'!B2</f>
        <v>400</v>
      </c>
      <c r="C4" s="609">
        <f>'Budget with Buffer'!D4</f>
        <v>393.77295684113864</v>
      </c>
      <c r="D4" s="776">
        <f aca="true" t="shared" si="0" ref="D4:D10">C4-B4</f>
        <v>-6.227043158861363</v>
      </c>
      <c r="E4" s="779">
        <f>C4/B4-1</f>
        <v>-0.01556760789715339</v>
      </c>
      <c r="G4" s="47"/>
    </row>
    <row r="5" spans="1:7" ht="21" customHeight="1">
      <c r="A5" s="607" t="s">
        <v>584</v>
      </c>
      <c r="B5" s="610">
        <f>'Budget w.o. Buffer'!E10</f>
        <v>148200</v>
      </c>
      <c r="C5" s="611">
        <f>'Budget with Buffer'!E13</f>
        <v>149573.19339627714</v>
      </c>
      <c r="D5" s="777">
        <f t="shared" si="0"/>
        <v>1373.1933962771436</v>
      </c>
      <c r="E5" s="778">
        <f>C5/B5-1</f>
        <v>0.009265812390534034</v>
      </c>
      <c r="G5" s="47"/>
    </row>
    <row r="6" spans="1:7" ht="21" customHeight="1">
      <c r="A6" s="607" t="s">
        <v>585</v>
      </c>
      <c r="B6" s="610">
        <f>'Budget w.o. Buffer'!E39</f>
        <v>106812.44843034375</v>
      </c>
      <c r="C6" s="611">
        <f>'Budget with Buffer'!E43</f>
        <v>107398.67280692216</v>
      </c>
      <c r="D6" s="777">
        <f t="shared" si="0"/>
        <v>586.2243765784078</v>
      </c>
      <c r="E6" s="778">
        <f>C6/B6-1</f>
        <v>0.005488352576813238</v>
      </c>
      <c r="G6" s="47"/>
    </row>
    <row r="7" spans="1:7" ht="21" customHeight="1">
      <c r="A7" s="607" t="s">
        <v>586</v>
      </c>
      <c r="B7" s="610">
        <f>'Budget w.o. Buffer'!E52</f>
        <v>42536.639194712065</v>
      </c>
      <c r="C7" s="611">
        <f>'Budget with Buffer'!E56</f>
        <v>42536.639194712065</v>
      </c>
      <c r="D7" s="777">
        <f t="shared" si="0"/>
        <v>0</v>
      </c>
      <c r="E7" s="778">
        <f>C7/B7-1</f>
        <v>0</v>
      </c>
      <c r="G7" s="47"/>
    </row>
    <row r="8" spans="1:7" ht="24" customHeight="1">
      <c r="A8" s="607" t="s">
        <v>592</v>
      </c>
      <c r="B8" s="610">
        <f>'Budget w.o. Buffer'!E55+'Budget w.o. Buffer'!E56</f>
        <v>33374</v>
      </c>
      <c r="C8" s="611">
        <f>'Budget with Buffer'!E60+'Budget with Buffer'!E61</f>
        <v>33240.123537739404</v>
      </c>
      <c r="D8" s="777">
        <f t="shared" si="0"/>
        <v>-133.87646226059587</v>
      </c>
      <c r="E8" s="778">
        <f>C8/B8-1</f>
        <v>-0.004011399959866879</v>
      </c>
      <c r="G8" s="47"/>
    </row>
    <row r="9" spans="1:7" ht="21" customHeight="1">
      <c r="A9" s="607" t="s">
        <v>587</v>
      </c>
      <c r="B9" s="612">
        <f>'Budget w.o. Buffer'!E58</f>
        <v>-34523.08762505581</v>
      </c>
      <c r="C9" s="613">
        <f>'Budget with Buffer'!E63</f>
        <v>-33602.24214309646</v>
      </c>
      <c r="D9" s="777">
        <f t="shared" si="0"/>
        <v>920.8454819593462</v>
      </c>
      <c r="E9" s="778">
        <f>IF(B9&lt;0,-(C9/B9-1),-(1-C9/B9))</f>
        <v>0.026673323428088258</v>
      </c>
      <c r="G9" s="785"/>
    </row>
    <row r="10" spans="1:7" ht="21" customHeight="1">
      <c r="A10" s="607" t="s">
        <v>588</v>
      </c>
      <c r="B10" s="612">
        <f>'Budget w.o. Buffer'!F58</f>
        <v>-86.30771906263953</v>
      </c>
      <c r="C10" s="613">
        <f>'Budget with Buffer'!F63</f>
        <v>-85.33405242618727</v>
      </c>
      <c r="D10" s="777">
        <f t="shared" si="0"/>
        <v>0.9736666364522648</v>
      </c>
      <c r="E10" s="778">
        <f>IF(B10&lt;0,-(C10/B10-1),-(1-C10/B10))</f>
        <v>0.011281338992930712</v>
      </c>
      <c r="G10" s="785"/>
    </row>
    <row r="11" ht="21" customHeight="1">
      <c r="G11" s="785"/>
    </row>
    <row r="12" spans="1:7" ht="21" customHeight="1">
      <c r="A12" s="605" t="s">
        <v>593</v>
      </c>
      <c r="G12" s="786" t="s">
        <v>691</v>
      </c>
    </row>
    <row r="13" spans="1:7" ht="21" customHeight="1">
      <c r="A13" s="606" t="s">
        <v>596</v>
      </c>
      <c r="B13" s="780">
        <f>'Buffer Builder'!B93</f>
        <v>6.22704315886134</v>
      </c>
      <c r="C13" s="29"/>
      <c r="D13" s="29"/>
      <c r="E13" s="592"/>
      <c r="G13" s="787"/>
    </row>
    <row r="14" spans="1:7" ht="21" customHeight="1">
      <c r="A14" s="607" t="s">
        <v>666</v>
      </c>
      <c r="B14" s="781">
        <f>'Buffer Builder'!C143</f>
        <v>15923.976031322065</v>
      </c>
      <c r="G14" s="787"/>
    </row>
    <row r="15" spans="1:7" ht="21" customHeight="1">
      <c r="A15" s="775" t="s">
        <v>697</v>
      </c>
      <c r="B15" s="782">
        <f>IF('Farm and Buffer Assumptions'!C40=10,'Buffer Builder'!B150,IF('Farm and Buffer Assumptions'!C40=15,'Buffer Builder'!B154,IF('Farm and Buffer Assumptions'!C40=25,'Buffer Builder'!B158,IF('Farm and Buffer Assumptions'!C40=50,'Buffer Builder'!B162))))</f>
        <v>1432.2199265381082</v>
      </c>
      <c r="G15" s="785"/>
    </row>
    <row r="16" spans="1:7" ht="21" customHeight="1">
      <c r="A16" s="607" t="s">
        <v>696</v>
      </c>
      <c r="B16" s="781">
        <f>'Buffer Builder'!C144</f>
        <v>2557.22910939867</v>
      </c>
      <c r="G16" s="785"/>
    </row>
    <row r="17" spans="1:7" ht="21" customHeight="1">
      <c r="A17" t="s">
        <v>594</v>
      </c>
      <c r="G17" s="785"/>
    </row>
    <row r="18" spans="1:7" ht="21" customHeight="1">
      <c r="A18" t="s">
        <v>597</v>
      </c>
      <c r="G18" s="788" t="s">
        <v>692</v>
      </c>
    </row>
    <row r="19" ht="21" customHeight="1">
      <c r="G19" s="47"/>
    </row>
    <row r="20" ht="21" customHeight="1">
      <c r="G20" s="47"/>
    </row>
    <row r="21" ht="21" customHeight="1">
      <c r="G21" s="47"/>
    </row>
    <row r="22" spans="1:7" ht="21" customHeight="1">
      <c r="A22" s="249" t="s">
        <v>364</v>
      </c>
      <c r="B22" s="595">
        <f>B5-SUM(B6:B8)</f>
        <v>-34523.08762505581</v>
      </c>
      <c r="C22" s="595">
        <f>C5-SUM(C6:C8)</f>
        <v>-33602.24214309646</v>
      </c>
      <c r="D22" s="595"/>
      <c r="G22" s="47"/>
    </row>
    <row r="23" ht="21" customHeight="1">
      <c r="G23" s="786" t="s">
        <v>693</v>
      </c>
    </row>
    <row r="24" ht="21" customHeight="1">
      <c r="G24" s="787"/>
    </row>
    <row r="25" ht="21" customHeight="1">
      <c r="G25" s="787"/>
    </row>
    <row r="26" ht="21" customHeight="1" hidden="1">
      <c r="G26" s="787"/>
    </row>
    <row r="27" ht="21" customHeight="1">
      <c r="G27" s="789" t="s">
        <v>686</v>
      </c>
    </row>
    <row r="28" ht="21" customHeight="1">
      <c r="G28" s="790"/>
    </row>
    <row r="29" ht="15" customHeight="1">
      <c r="G29" s="790"/>
    </row>
    <row r="30" ht="21" customHeight="1" hidden="1">
      <c r="G30" s="790"/>
    </row>
    <row r="31" ht="21" customHeight="1" hidden="1">
      <c r="G31" s="790"/>
    </row>
    <row r="32" ht="21" customHeight="1" hidden="1">
      <c r="G32" s="790"/>
    </row>
    <row r="33" ht="32.25" customHeight="1">
      <c r="G33" s="791" t="s">
        <v>620</v>
      </c>
    </row>
    <row r="34" ht="21" customHeight="1">
      <c r="G34" s="786" t="s">
        <v>694</v>
      </c>
    </row>
    <row r="35" ht="18" customHeight="1">
      <c r="G35" s="787"/>
    </row>
    <row r="36" ht="18" customHeight="1">
      <c r="G36" s="787"/>
    </row>
    <row r="37" ht="18" customHeight="1">
      <c r="G37" s="787"/>
    </row>
    <row r="38" ht="18" customHeight="1">
      <c r="G38" s="787"/>
    </row>
    <row r="39" ht="18" customHeight="1">
      <c r="G39" s="787"/>
    </row>
    <row r="40" ht="12.75">
      <c r="G40" s="432"/>
    </row>
    <row r="41" ht="12.75">
      <c r="G41" s="432"/>
    </row>
    <row r="42" ht="12.75">
      <c r="G42" s="432"/>
    </row>
    <row r="43" ht="12.75">
      <c r="G43" s="792"/>
    </row>
  </sheetData>
  <mergeCells count="2">
    <mergeCell ref="A1:E1"/>
    <mergeCell ref="A2:A3"/>
  </mergeCells>
  <printOptions horizontalCentered="1" verticalCentered="1"/>
  <pageMargins left="0.5" right="0.5" top="0.77" bottom="0.82" header="0.5" footer="0.46"/>
  <pageSetup fitToWidth="2" orientation="landscape" scale="62" r:id="rId4"/>
  <headerFooter alignWithMargins="0">
    <oddHeader>&amp;LFile Name: &amp;F, &amp;A&amp;R&amp;D, &amp;T</oddHeader>
    <oddFooter>&amp;LPrepared by:
Resource Consulting</oddFooter>
  </headerFooter>
  <colBreaks count="1" manualBreakCount="1">
    <brk id="7" max="41" man="1"/>
  </colBreaks>
  <drawing r:id="rId3"/>
  <legacyDrawing r:id="rId2"/>
</worksheet>
</file>

<file path=xl/worksheets/sheet3.xml><?xml version="1.0" encoding="utf-8"?>
<worksheet xmlns="http://schemas.openxmlformats.org/spreadsheetml/2006/main" xmlns:r="http://schemas.openxmlformats.org/officeDocument/2006/relationships">
  <dimension ref="A1:D85"/>
  <sheetViews>
    <sheetView workbookViewId="0" topLeftCell="A1">
      <selection activeCell="A1" sqref="A1"/>
    </sheetView>
  </sheetViews>
  <sheetFormatPr defaultColWidth="9.140625" defaultRowHeight="12.75"/>
  <cols>
    <col min="1" max="1" width="67.7109375" style="0" customWidth="1"/>
    <col min="2" max="2" width="13.7109375" style="0" customWidth="1"/>
    <col min="4" max="4" width="47.28125" style="2" customWidth="1"/>
    <col min="6" max="16384" width="9.140625" style="56" customWidth="1"/>
  </cols>
  <sheetData>
    <row r="1" ht="26.25" customHeight="1">
      <c r="A1" s="511" t="s">
        <v>58</v>
      </c>
    </row>
    <row r="2" ht="13.5" thickBot="1"/>
    <row r="3" spans="1:4" ht="22.5" customHeight="1">
      <c r="A3" s="135" t="s">
        <v>272</v>
      </c>
      <c r="B3" s="135" t="s">
        <v>2</v>
      </c>
      <c r="C3" s="135" t="s">
        <v>4</v>
      </c>
      <c r="D3" s="135" t="s">
        <v>59</v>
      </c>
    </row>
    <row r="4" spans="1:4" ht="18" customHeight="1">
      <c r="A4" s="134" t="s">
        <v>198</v>
      </c>
      <c r="B4" s="134" t="s">
        <v>9</v>
      </c>
      <c r="C4" s="218">
        <v>13</v>
      </c>
      <c r="D4" s="133" t="s">
        <v>287</v>
      </c>
    </row>
    <row r="5" spans="1:4" ht="18" customHeight="1">
      <c r="A5" s="134" t="s">
        <v>199</v>
      </c>
      <c r="B5" s="134" t="s">
        <v>9</v>
      </c>
      <c r="C5" s="218">
        <v>0</v>
      </c>
      <c r="D5" s="140" t="s">
        <v>287</v>
      </c>
    </row>
    <row r="6" spans="1:4" ht="18" customHeight="1">
      <c r="A6" s="134" t="s">
        <v>197</v>
      </c>
      <c r="B6" s="134"/>
      <c r="C6" s="218">
        <v>5</v>
      </c>
      <c r="D6" s="138"/>
    </row>
    <row r="7" spans="1:4" ht="18" customHeight="1">
      <c r="A7" s="134" t="s">
        <v>606</v>
      </c>
      <c r="B7" s="226" t="s">
        <v>288</v>
      </c>
      <c r="C7" s="227" t="s">
        <v>288</v>
      </c>
      <c r="D7" s="133"/>
    </row>
    <row r="8" spans="1:4" ht="18" customHeight="1">
      <c r="A8" s="133" t="s">
        <v>19</v>
      </c>
      <c r="B8" s="134" t="s">
        <v>20</v>
      </c>
      <c r="C8" s="616">
        <v>0</v>
      </c>
      <c r="D8" s="133" t="s">
        <v>607</v>
      </c>
    </row>
    <row r="9" spans="1:4" ht="18" customHeight="1">
      <c r="A9" s="133" t="s">
        <v>21</v>
      </c>
      <c r="B9" s="134" t="s">
        <v>20</v>
      </c>
      <c r="C9" s="616">
        <v>0</v>
      </c>
      <c r="D9" s="133" t="s">
        <v>607</v>
      </c>
    </row>
    <row r="10" spans="1:4" ht="18" customHeight="1">
      <c r="A10" s="133" t="s">
        <v>22</v>
      </c>
      <c r="B10" s="134" t="s">
        <v>20</v>
      </c>
      <c r="C10" s="616">
        <v>0</v>
      </c>
      <c r="D10" s="133" t="s">
        <v>607</v>
      </c>
    </row>
    <row r="11" spans="1:4" ht="18" customHeight="1">
      <c r="A11" s="133" t="s">
        <v>23</v>
      </c>
      <c r="B11" s="134" t="s">
        <v>20</v>
      </c>
      <c r="C11" s="616">
        <v>0</v>
      </c>
      <c r="D11" s="133" t="s">
        <v>607</v>
      </c>
    </row>
    <row r="12" spans="1:4" ht="18" customHeight="1">
      <c r="A12" s="133" t="s">
        <v>24</v>
      </c>
      <c r="B12" s="134" t="s">
        <v>9</v>
      </c>
      <c r="C12" s="616">
        <v>0</v>
      </c>
      <c r="D12" s="133" t="s">
        <v>607</v>
      </c>
    </row>
    <row r="13" spans="1:4" ht="18" customHeight="1">
      <c r="A13" s="133" t="s">
        <v>25</v>
      </c>
      <c r="B13" s="134" t="s">
        <v>9</v>
      </c>
      <c r="C13" s="616">
        <v>0</v>
      </c>
      <c r="D13" s="133" t="s">
        <v>607</v>
      </c>
    </row>
    <row r="14" spans="1:4" ht="18" customHeight="1">
      <c r="A14" s="134" t="s">
        <v>273</v>
      </c>
      <c r="B14" s="134" t="s">
        <v>274</v>
      </c>
      <c r="C14" s="219">
        <v>0.07</v>
      </c>
      <c r="D14" s="133" t="s">
        <v>589</v>
      </c>
    </row>
    <row r="15" spans="1:4" ht="18" customHeight="1">
      <c r="A15" s="139" t="s">
        <v>281</v>
      </c>
      <c r="B15" s="134" t="s">
        <v>66</v>
      </c>
      <c r="C15" s="219">
        <v>0</v>
      </c>
      <c r="D15" s="133"/>
    </row>
    <row r="16" spans="1:4" ht="18" customHeight="1">
      <c r="A16" s="139" t="s">
        <v>285</v>
      </c>
      <c r="B16" s="139" t="s">
        <v>286</v>
      </c>
      <c r="C16" s="220">
        <v>1.15</v>
      </c>
      <c r="D16" s="140"/>
    </row>
    <row r="17" spans="1:4" ht="18" customHeight="1" thickBot="1">
      <c r="A17" s="57"/>
      <c r="B17" s="57"/>
      <c r="C17" s="136"/>
      <c r="D17" s="58"/>
    </row>
    <row r="18" spans="1:4" ht="18" customHeight="1" thickBot="1">
      <c r="A18" s="504" t="s">
        <v>60</v>
      </c>
      <c r="B18" s="43" t="s">
        <v>2</v>
      </c>
      <c r="C18" s="43" t="s">
        <v>4</v>
      </c>
      <c r="D18" s="43" t="s">
        <v>59</v>
      </c>
    </row>
    <row r="19" spans="1:4" ht="18" customHeight="1">
      <c r="A19" s="66" t="s">
        <v>61</v>
      </c>
      <c r="B19" s="67" t="s">
        <v>62</v>
      </c>
      <c r="C19" s="221">
        <v>220</v>
      </c>
      <c r="D19" s="68"/>
    </row>
    <row r="20" spans="1:4" ht="18" customHeight="1">
      <c r="A20" s="66" t="s">
        <v>63</v>
      </c>
      <c r="B20" s="67" t="s">
        <v>62</v>
      </c>
      <c r="C20" s="221">
        <v>200</v>
      </c>
      <c r="D20" s="68"/>
    </row>
    <row r="21" spans="1:4" ht="18" customHeight="1">
      <c r="A21" s="69" t="s">
        <v>64</v>
      </c>
      <c r="B21" s="70" t="s">
        <v>62</v>
      </c>
      <c r="C21" s="222">
        <v>200</v>
      </c>
      <c r="D21" s="63"/>
    </row>
    <row r="22" spans="1:4" ht="18" customHeight="1">
      <c r="A22" s="69" t="s">
        <v>65</v>
      </c>
      <c r="B22" s="70" t="s">
        <v>66</v>
      </c>
      <c r="C22" s="223">
        <v>0.0128505</v>
      </c>
      <c r="D22" s="63"/>
    </row>
    <row r="23" spans="1:4" ht="18" customHeight="1">
      <c r="A23" s="61" t="s">
        <v>67</v>
      </c>
      <c r="B23" s="62" t="s">
        <v>66</v>
      </c>
      <c r="C23" s="179">
        <v>0.05</v>
      </c>
      <c r="D23" s="63"/>
    </row>
    <row r="24" spans="1:4" ht="18" customHeight="1">
      <c r="A24" s="82" t="s">
        <v>282</v>
      </c>
      <c r="B24" s="208" t="s">
        <v>66</v>
      </c>
      <c r="C24" s="224">
        <v>0.05</v>
      </c>
      <c r="D24" s="63"/>
    </row>
    <row r="25" spans="1:4" ht="18" customHeight="1">
      <c r="A25" s="71" t="s">
        <v>68</v>
      </c>
      <c r="B25" s="64" t="s">
        <v>66</v>
      </c>
      <c r="C25" s="225">
        <v>0.008</v>
      </c>
      <c r="D25" s="65"/>
    </row>
    <row r="26" spans="1:4" ht="12.75">
      <c r="A26" s="72"/>
      <c r="B26" s="57"/>
      <c r="C26" s="73"/>
      <c r="D26" s="58"/>
    </row>
    <row r="27" spans="1:4" ht="27.75" customHeight="1" thickBot="1">
      <c r="A27" s="236" t="s">
        <v>69</v>
      </c>
      <c r="B27" s="57"/>
      <c r="C27" s="57"/>
      <c r="D27" s="58"/>
    </row>
    <row r="28" spans="1:4" ht="21.75" customHeight="1" thickBot="1">
      <c r="A28" s="43" t="s">
        <v>70</v>
      </c>
      <c r="B28" s="74" t="s">
        <v>2</v>
      </c>
      <c r="C28" s="43" t="s">
        <v>4</v>
      </c>
      <c r="D28" s="43" t="s">
        <v>59</v>
      </c>
    </row>
    <row r="29" spans="1:4" ht="26.25" customHeight="1">
      <c r="A29" s="75" t="s">
        <v>603</v>
      </c>
      <c r="B29" s="59" t="s">
        <v>66</v>
      </c>
      <c r="C29" s="360">
        <v>0.04</v>
      </c>
      <c r="D29" s="60" t="s">
        <v>534</v>
      </c>
    </row>
    <row r="30" spans="1:4" ht="26.25" customHeight="1">
      <c r="A30" s="61" t="s">
        <v>71</v>
      </c>
      <c r="B30" s="62" t="s">
        <v>535</v>
      </c>
      <c r="C30" s="361">
        <v>2.4</v>
      </c>
      <c r="D30" s="63" t="s">
        <v>72</v>
      </c>
    </row>
    <row r="31" spans="1:4" ht="26.25" customHeight="1">
      <c r="A31" s="61" t="s">
        <v>536</v>
      </c>
      <c r="B31" s="62" t="s">
        <v>535</v>
      </c>
      <c r="C31" s="362">
        <v>13</v>
      </c>
      <c r="D31" s="63" t="s">
        <v>572</v>
      </c>
    </row>
    <row r="32" spans="1:4" ht="26.25" customHeight="1">
      <c r="A32" s="61" t="s">
        <v>537</v>
      </c>
      <c r="B32" s="62" t="s">
        <v>73</v>
      </c>
      <c r="C32" s="363">
        <v>4</v>
      </c>
      <c r="D32" s="63" t="s">
        <v>74</v>
      </c>
    </row>
    <row r="33" spans="1:4" ht="19.5" customHeight="1">
      <c r="A33" s="61" t="s">
        <v>667</v>
      </c>
      <c r="B33" s="62" t="s">
        <v>614</v>
      </c>
      <c r="C33" s="363">
        <v>100</v>
      </c>
      <c r="D33" s="63" t="s">
        <v>615</v>
      </c>
    </row>
    <row r="34" spans="1:4" ht="26.25" customHeight="1">
      <c r="A34" s="61" t="s">
        <v>538</v>
      </c>
      <c r="B34" s="62" t="s">
        <v>75</v>
      </c>
      <c r="C34" s="362">
        <v>500</v>
      </c>
      <c r="D34" s="63" t="s">
        <v>539</v>
      </c>
    </row>
    <row r="35" spans="1:4" ht="41.25" customHeight="1">
      <c r="A35" s="740" t="s">
        <v>683</v>
      </c>
      <c r="B35" s="81" t="s">
        <v>85</v>
      </c>
      <c r="C35" s="362">
        <v>0</v>
      </c>
      <c r="D35" s="63" t="s">
        <v>684</v>
      </c>
    </row>
    <row r="36" spans="1:4" ht="26.25" customHeight="1">
      <c r="A36" s="61" t="s">
        <v>540</v>
      </c>
      <c r="B36" s="81" t="s">
        <v>85</v>
      </c>
      <c r="C36" s="362">
        <v>0</v>
      </c>
      <c r="D36" s="63" t="s">
        <v>623</v>
      </c>
    </row>
    <row r="37" spans="1:4" ht="26.25" customHeight="1">
      <c r="A37" s="61" t="s">
        <v>541</v>
      </c>
      <c r="B37" s="81" t="s">
        <v>85</v>
      </c>
      <c r="C37" s="362">
        <v>0</v>
      </c>
      <c r="D37" s="63" t="s">
        <v>623</v>
      </c>
    </row>
    <row r="38" spans="1:4" ht="26.25" customHeight="1">
      <c r="A38" s="61" t="s">
        <v>542</v>
      </c>
      <c r="B38" s="81" t="s">
        <v>85</v>
      </c>
      <c r="C38" s="362">
        <v>0</v>
      </c>
      <c r="D38" s="63" t="s">
        <v>624</v>
      </c>
    </row>
    <row r="39" spans="1:4" ht="26.25" customHeight="1">
      <c r="A39" s="61" t="s">
        <v>543</v>
      </c>
      <c r="B39" s="81" t="s">
        <v>85</v>
      </c>
      <c r="C39" s="362">
        <v>0</v>
      </c>
      <c r="D39" s="63" t="s">
        <v>625</v>
      </c>
    </row>
    <row r="40" spans="1:4" ht="42.75" customHeight="1">
      <c r="A40" s="76" t="s">
        <v>604</v>
      </c>
      <c r="B40" s="70"/>
      <c r="C40" s="364">
        <v>15</v>
      </c>
      <c r="D40" s="76" t="s">
        <v>544</v>
      </c>
    </row>
    <row r="41" spans="1:4" ht="26.25" customHeight="1">
      <c r="A41" s="58"/>
      <c r="B41" s="72"/>
      <c r="C41" s="77"/>
      <c r="D41" s="58"/>
    </row>
    <row r="42" spans="1:4" ht="26.25" customHeight="1" thickBot="1">
      <c r="A42" s="236" t="s">
        <v>76</v>
      </c>
      <c r="B42" s="78"/>
      <c r="C42" s="78"/>
      <c r="D42" s="52"/>
    </row>
    <row r="43" spans="1:4" ht="26.25" customHeight="1" thickBot="1">
      <c r="A43" s="43" t="s">
        <v>77</v>
      </c>
      <c r="B43" s="74" t="s">
        <v>2</v>
      </c>
      <c r="C43" s="43" t="s">
        <v>4</v>
      </c>
      <c r="D43" s="43" t="s">
        <v>59</v>
      </c>
    </row>
    <row r="44" spans="1:4" ht="26.25" customHeight="1">
      <c r="A44" s="79" t="s">
        <v>78</v>
      </c>
      <c r="B44" s="80" t="s">
        <v>79</v>
      </c>
      <c r="C44" s="505">
        <v>15</v>
      </c>
      <c r="D44" s="60" t="s">
        <v>561</v>
      </c>
    </row>
    <row r="45" spans="1:4" ht="26.25" customHeight="1">
      <c r="A45" s="61" t="s">
        <v>545</v>
      </c>
      <c r="B45" s="81" t="s">
        <v>66</v>
      </c>
      <c r="C45" s="506">
        <v>2</v>
      </c>
      <c r="D45" s="63" t="s">
        <v>546</v>
      </c>
    </row>
    <row r="46" spans="1:4" ht="26.25" customHeight="1">
      <c r="A46" s="61" t="s">
        <v>80</v>
      </c>
      <c r="B46" s="81" t="s">
        <v>547</v>
      </c>
      <c r="C46" s="507">
        <v>0</v>
      </c>
      <c r="D46" s="63" t="s">
        <v>82</v>
      </c>
    </row>
    <row r="47" spans="1:4" ht="26.25" customHeight="1">
      <c r="A47" s="82" t="s">
        <v>83</v>
      </c>
      <c r="B47" s="83" t="s">
        <v>66</v>
      </c>
      <c r="C47" s="508">
        <v>1</v>
      </c>
      <c r="D47" s="84"/>
    </row>
    <row r="48" spans="1:4" ht="26.25" customHeight="1">
      <c r="A48" s="61" t="s">
        <v>84</v>
      </c>
      <c r="B48" s="81" t="s">
        <v>66</v>
      </c>
      <c r="C48" s="508">
        <v>1</v>
      </c>
      <c r="D48" s="63"/>
    </row>
    <row r="49" spans="1:4" ht="26.25" customHeight="1">
      <c r="A49" s="85" t="s">
        <v>548</v>
      </c>
      <c r="B49" s="83" t="s">
        <v>73</v>
      </c>
      <c r="C49" s="509">
        <v>5</v>
      </c>
      <c r="D49" s="84"/>
    </row>
    <row r="50" spans="1:4" ht="26.25" customHeight="1">
      <c r="A50" s="85" t="s">
        <v>549</v>
      </c>
      <c r="B50" s="83" t="s">
        <v>73</v>
      </c>
      <c r="C50" s="509">
        <v>5</v>
      </c>
      <c r="D50" s="84"/>
    </row>
    <row r="51" spans="1:4" ht="21.75" customHeight="1">
      <c r="A51" s="747" t="s">
        <v>550</v>
      </c>
      <c r="B51" s="748" t="s">
        <v>85</v>
      </c>
      <c r="C51" s="749">
        <v>1</v>
      </c>
      <c r="D51" s="750" t="s">
        <v>86</v>
      </c>
    </row>
    <row r="52" spans="1:4" ht="18" customHeight="1">
      <c r="A52" s="61" t="s">
        <v>551</v>
      </c>
      <c r="B52" s="81" t="s">
        <v>85</v>
      </c>
      <c r="C52" s="362">
        <v>1</v>
      </c>
      <c r="D52" s="358" t="s">
        <v>552</v>
      </c>
    </row>
    <row r="53" spans="1:4" ht="18" customHeight="1">
      <c r="A53" s="61" t="s">
        <v>553</v>
      </c>
      <c r="B53" s="81" t="s">
        <v>85</v>
      </c>
      <c r="C53" s="362">
        <v>1</v>
      </c>
      <c r="D53" s="358" t="s">
        <v>552</v>
      </c>
    </row>
    <row r="54" spans="1:4" ht="18" customHeight="1">
      <c r="A54" s="82" t="s">
        <v>554</v>
      </c>
      <c r="B54" s="81" t="s">
        <v>85</v>
      </c>
      <c r="C54" s="362">
        <v>1</v>
      </c>
      <c r="D54" s="358" t="s">
        <v>552</v>
      </c>
    </row>
    <row r="55" spans="1:4" ht="18" customHeight="1">
      <c r="A55" s="61" t="s">
        <v>555</v>
      </c>
      <c r="B55" s="81" t="s">
        <v>85</v>
      </c>
      <c r="C55" s="362">
        <v>1</v>
      </c>
      <c r="D55" s="358" t="s">
        <v>552</v>
      </c>
    </row>
    <row r="56" spans="1:4" ht="22.5" customHeight="1">
      <c r="A56" s="747" t="s">
        <v>602</v>
      </c>
      <c r="B56" s="748" t="s">
        <v>85</v>
      </c>
      <c r="C56" s="749">
        <v>1</v>
      </c>
      <c r="D56" s="750" t="s">
        <v>86</v>
      </c>
    </row>
    <row r="57" spans="1:4" ht="18" customHeight="1">
      <c r="A57" s="61" t="s">
        <v>551</v>
      </c>
      <c r="B57" s="81" t="s">
        <v>85</v>
      </c>
      <c r="C57" s="362">
        <v>1</v>
      </c>
      <c r="D57" s="358" t="s">
        <v>552</v>
      </c>
    </row>
    <row r="58" spans="1:4" ht="18" customHeight="1">
      <c r="A58" s="61" t="s">
        <v>553</v>
      </c>
      <c r="B58" s="81" t="s">
        <v>85</v>
      </c>
      <c r="C58" s="362">
        <v>1</v>
      </c>
      <c r="D58" s="358" t="s">
        <v>552</v>
      </c>
    </row>
    <row r="59" spans="1:4" ht="18" customHeight="1">
      <c r="A59" s="82" t="s">
        <v>554</v>
      </c>
      <c r="B59" s="81" t="s">
        <v>85</v>
      </c>
      <c r="C59" s="362">
        <v>1</v>
      </c>
      <c r="D59" s="358" t="s">
        <v>552</v>
      </c>
    </row>
    <row r="60" spans="1:4" ht="18" customHeight="1">
      <c r="A60" s="61" t="s">
        <v>555</v>
      </c>
      <c r="B60" s="81" t="s">
        <v>85</v>
      </c>
      <c r="C60" s="362">
        <v>1</v>
      </c>
      <c r="D60" s="358" t="s">
        <v>552</v>
      </c>
    </row>
    <row r="61" spans="1:4" ht="24" customHeight="1">
      <c r="A61" s="747" t="s">
        <v>556</v>
      </c>
      <c r="B61" s="748" t="s">
        <v>85</v>
      </c>
      <c r="C61" s="749">
        <v>0</v>
      </c>
      <c r="D61" s="750" t="s">
        <v>86</v>
      </c>
    </row>
    <row r="62" spans="1:4" ht="18" customHeight="1">
      <c r="A62" s="61" t="s">
        <v>551</v>
      </c>
      <c r="B62" s="81" t="s">
        <v>85</v>
      </c>
      <c r="C62" s="362">
        <v>0</v>
      </c>
      <c r="D62" s="358" t="s">
        <v>552</v>
      </c>
    </row>
    <row r="63" spans="1:4" ht="18" customHeight="1">
      <c r="A63" s="61" t="s">
        <v>553</v>
      </c>
      <c r="B63" s="81" t="s">
        <v>85</v>
      </c>
      <c r="C63" s="362">
        <v>0</v>
      </c>
      <c r="D63" s="358" t="s">
        <v>552</v>
      </c>
    </row>
    <row r="64" spans="1:4" ht="18" customHeight="1">
      <c r="A64" s="82" t="s">
        <v>554</v>
      </c>
      <c r="B64" s="81" t="s">
        <v>85</v>
      </c>
      <c r="C64" s="362">
        <v>0</v>
      </c>
      <c r="D64" s="358" t="s">
        <v>552</v>
      </c>
    </row>
    <row r="65" spans="1:4" ht="18" customHeight="1">
      <c r="A65" s="61" t="s">
        <v>555</v>
      </c>
      <c r="B65" s="81" t="s">
        <v>85</v>
      </c>
      <c r="C65" s="362">
        <v>0</v>
      </c>
      <c r="D65" s="358" t="s">
        <v>552</v>
      </c>
    </row>
    <row r="66" spans="1:4" ht="25.5" customHeight="1">
      <c r="A66" s="747" t="s">
        <v>557</v>
      </c>
      <c r="B66" s="748" t="s">
        <v>85</v>
      </c>
      <c r="C66" s="749">
        <v>1</v>
      </c>
      <c r="D66" s="750" t="s">
        <v>86</v>
      </c>
    </row>
    <row r="67" spans="1:4" ht="18" customHeight="1">
      <c r="A67" s="61" t="s">
        <v>551</v>
      </c>
      <c r="B67" s="81" t="s">
        <v>85</v>
      </c>
      <c r="C67" s="362">
        <v>1</v>
      </c>
      <c r="D67" s="358" t="s">
        <v>552</v>
      </c>
    </row>
    <row r="68" spans="1:4" ht="18" customHeight="1">
      <c r="A68" s="61" t="s">
        <v>553</v>
      </c>
      <c r="B68" s="81" t="s">
        <v>85</v>
      </c>
      <c r="C68" s="362">
        <v>1</v>
      </c>
      <c r="D68" s="358" t="s">
        <v>552</v>
      </c>
    </row>
    <row r="69" spans="1:4" ht="18" customHeight="1">
      <c r="A69" s="82" t="s">
        <v>554</v>
      </c>
      <c r="B69" s="81" t="s">
        <v>85</v>
      </c>
      <c r="C69" s="362">
        <v>1</v>
      </c>
      <c r="D69" s="358" t="s">
        <v>552</v>
      </c>
    </row>
    <row r="70" spans="1:4" ht="18" customHeight="1">
      <c r="A70" s="61" t="s">
        <v>555</v>
      </c>
      <c r="B70" s="81" t="s">
        <v>85</v>
      </c>
      <c r="C70" s="362">
        <v>1</v>
      </c>
      <c r="D70" s="358" t="s">
        <v>552</v>
      </c>
    </row>
    <row r="71" spans="1:4" ht="26.25" customHeight="1">
      <c r="A71" s="751" t="s">
        <v>558</v>
      </c>
      <c r="B71" s="748" t="s">
        <v>85</v>
      </c>
      <c r="C71" s="749">
        <v>1</v>
      </c>
      <c r="D71" s="750" t="s">
        <v>86</v>
      </c>
    </row>
    <row r="72" spans="1:4" ht="18" customHeight="1">
      <c r="A72" s="61" t="s">
        <v>551</v>
      </c>
      <c r="B72" s="81" t="s">
        <v>85</v>
      </c>
      <c r="C72" s="362">
        <v>1</v>
      </c>
      <c r="D72" s="358" t="s">
        <v>552</v>
      </c>
    </row>
    <row r="73" spans="1:4" ht="18" customHeight="1">
      <c r="A73" s="61" t="s">
        <v>553</v>
      </c>
      <c r="B73" s="81" t="s">
        <v>85</v>
      </c>
      <c r="C73" s="362">
        <v>1</v>
      </c>
      <c r="D73" s="358" t="s">
        <v>552</v>
      </c>
    </row>
    <row r="74" spans="1:4" ht="18" customHeight="1">
      <c r="A74" s="82" t="s">
        <v>554</v>
      </c>
      <c r="B74" s="81" t="s">
        <v>85</v>
      </c>
      <c r="C74" s="362">
        <v>1</v>
      </c>
      <c r="D74" s="358" t="s">
        <v>552</v>
      </c>
    </row>
    <row r="75" spans="1:4" ht="18" customHeight="1">
      <c r="A75" s="61" t="s">
        <v>555</v>
      </c>
      <c r="B75" s="81" t="s">
        <v>85</v>
      </c>
      <c r="C75" s="362">
        <v>1</v>
      </c>
      <c r="D75" s="358" t="s">
        <v>552</v>
      </c>
    </row>
    <row r="76" spans="1:4" ht="22.5" customHeight="1">
      <c r="A76" s="751" t="s">
        <v>559</v>
      </c>
      <c r="B76" s="748" t="s">
        <v>85</v>
      </c>
      <c r="C76" s="749">
        <v>0</v>
      </c>
      <c r="D76" s="750" t="s">
        <v>86</v>
      </c>
    </row>
    <row r="77" spans="1:4" ht="18" customHeight="1">
      <c r="A77" s="75" t="s">
        <v>551</v>
      </c>
      <c r="B77" s="359" t="s">
        <v>85</v>
      </c>
      <c r="C77" s="510">
        <v>0</v>
      </c>
      <c r="D77" s="358" t="s">
        <v>552</v>
      </c>
    </row>
    <row r="78" spans="1:4" ht="18" customHeight="1">
      <c r="A78" s="61" t="s">
        <v>553</v>
      </c>
      <c r="B78" s="81" t="s">
        <v>85</v>
      </c>
      <c r="C78" s="362">
        <v>0</v>
      </c>
      <c r="D78" s="358" t="s">
        <v>552</v>
      </c>
    </row>
    <row r="79" spans="1:4" ht="18" customHeight="1">
      <c r="A79" s="82" t="s">
        <v>554</v>
      </c>
      <c r="B79" s="81" t="s">
        <v>85</v>
      </c>
      <c r="C79" s="362">
        <v>0</v>
      </c>
      <c r="D79" s="358" t="s">
        <v>552</v>
      </c>
    </row>
    <row r="80" spans="1:4" ht="18" customHeight="1">
      <c r="A80" s="61" t="s">
        <v>555</v>
      </c>
      <c r="B80" s="81" t="s">
        <v>85</v>
      </c>
      <c r="C80" s="362">
        <v>0</v>
      </c>
      <c r="D80" s="358" t="s">
        <v>552</v>
      </c>
    </row>
    <row r="81" spans="1:4" ht="23.25" customHeight="1">
      <c r="A81" s="747" t="s">
        <v>560</v>
      </c>
      <c r="B81" s="748" t="s">
        <v>85</v>
      </c>
      <c r="C81" s="749">
        <v>0</v>
      </c>
      <c r="D81" s="750" t="s">
        <v>86</v>
      </c>
    </row>
    <row r="82" spans="1:4" ht="18" customHeight="1">
      <c r="A82" s="61" t="s">
        <v>551</v>
      </c>
      <c r="B82" s="81" t="s">
        <v>85</v>
      </c>
      <c r="C82" s="362">
        <v>0</v>
      </c>
      <c r="D82" s="358" t="s">
        <v>552</v>
      </c>
    </row>
    <row r="83" spans="1:4" ht="18" customHeight="1">
      <c r="A83" s="61" t="s">
        <v>553</v>
      </c>
      <c r="B83" s="81" t="s">
        <v>85</v>
      </c>
      <c r="C83" s="362">
        <v>0</v>
      </c>
      <c r="D83" s="358" t="s">
        <v>552</v>
      </c>
    </row>
    <row r="84" spans="1:4" ht="18" customHeight="1">
      <c r="A84" s="82" t="s">
        <v>554</v>
      </c>
      <c r="B84" s="81" t="s">
        <v>85</v>
      </c>
      <c r="C84" s="362">
        <v>0</v>
      </c>
      <c r="D84" s="358" t="s">
        <v>552</v>
      </c>
    </row>
    <row r="85" spans="1:4" ht="18" customHeight="1">
      <c r="A85" s="61" t="s">
        <v>555</v>
      </c>
      <c r="B85" s="81" t="s">
        <v>85</v>
      </c>
      <c r="C85" s="362">
        <v>0</v>
      </c>
      <c r="D85" s="358" t="s">
        <v>552</v>
      </c>
    </row>
  </sheetData>
  <sheetProtection/>
  <printOptions/>
  <pageMargins left="0.75" right="0.75" top="1" bottom="1" header="0.5" footer="0.5"/>
  <pageSetup fitToHeight="2" orientation="portrait" scale="69" r:id="rId3"/>
  <headerFooter alignWithMargins="0">
    <oddHeader>&amp;LFile: &amp;F, Sheet: &amp;A&amp;R&amp;D, &amp;T</oddHeader>
    <oddFooter>&amp;LPrepared by:
Resource Consulting</oddFooter>
  </headerFooter>
  <rowBreaks count="1" manualBreakCount="1">
    <brk id="41" max="3" man="1"/>
  </rowBreaks>
  <legacyDrawing r:id="rId2"/>
</worksheet>
</file>

<file path=xl/worksheets/sheet4.xml><?xml version="1.0" encoding="utf-8"?>
<worksheet xmlns="http://schemas.openxmlformats.org/spreadsheetml/2006/main" xmlns:r="http://schemas.openxmlformats.org/officeDocument/2006/relationships">
  <dimension ref="A1:M119"/>
  <sheetViews>
    <sheetView showGridLines="0" workbookViewId="0" topLeftCell="A1">
      <selection activeCell="A1" sqref="A1"/>
    </sheetView>
  </sheetViews>
  <sheetFormatPr defaultColWidth="9.140625" defaultRowHeight="12.75"/>
  <cols>
    <col min="1" max="1" width="30.8515625" style="0" customWidth="1"/>
    <col min="2" max="3" width="12.421875" style="0" customWidth="1"/>
    <col min="4" max="4" width="33.00390625" style="2" customWidth="1"/>
    <col min="5" max="5" width="34.57421875" style="0" customWidth="1"/>
    <col min="6" max="6" width="10.8515625" style="0" customWidth="1"/>
    <col min="8" max="8" width="11.57421875" style="0" customWidth="1"/>
  </cols>
  <sheetData>
    <row r="1" ht="26.25" customHeight="1">
      <c r="A1" s="254" t="s">
        <v>87</v>
      </c>
    </row>
    <row r="2" ht="23.25">
      <c r="A2" s="254"/>
    </row>
    <row r="3" ht="22.5" customHeight="1" thickBot="1">
      <c r="A3" s="254" t="s">
        <v>88</v>
      </c>
    </row>
    <row r="4" spans="1:5" s="45" customFormat="1" ht="20.25" customHeight="1" thickBot="1">
      <c r="A4" s="765" t="s">
        <v>41</v>
      </c>
      <c r="B4" s="765" t="s">
        <v>2</v>
      </c>
      <c r="C4" s="765" t="s">
        <v>3</v>
      </c>
      <c r="D4" s="765" t="s">
        <v>89</v>
      </c>
      <c r="E4" s="765" t="s">
        <v>90</v>
      </c>
    </row>
    <row r="5" spans="1:5" ht="38.25">
      <c r="A5" s="369" t="s">
        <v>10</v>
      </c>
      <c r="B5" s="370" t="s">
        <v>11</v>
      </c>
      <c r="C5" s="384">
        <v>114</v>
      </c>
      <c r="D5" s="372" t="s">
        <v>91</v>
      </c>
      <c r="E5" s="373" t="s">
        <v>92</v>
      </c>
    </row>
    <row r="6" spans="1:5" ht="38.25">
      <c r="A6" s="374" t="s">
        <v>8</v>
      </c>
      <c r="B6" s="55" t="s">
        <v>11</v>
      </c>
      <c r="C6" s="143">
        <v>28.5</v>
      </c>
      <c r="D6" s="17" t="s">
        <v>93</v>
      </c>
      <c r="E6" s="376" t="s">
        <v>611</v>
      </c>
    </row>
    <row r="7" spans="1:5" ht="26.25" customHeight="1">
      <c r="A7" s="374" t="s">
        <v>16</v>
      </c>
      <c r="B7" s="55" t="s">
        <v>17</v>
      </c>
      <c r="C7" s="142">
        <v>39</v>
      </c>
      <c r="D7" s="17" t="s">
        <v>108</v>
      </c>
      <c r="E7" s="375" t="s">
        <v>109</v>
      </c>
    </row>
    <row r="8" spans="1:5" ht="18" customHeight="1">
      <c r="A8" s="374" t="s">
        <v>183</v>
      </c>
      <c r="B8" s="55" t="s">
        <v>17</v>
      </c>
      <c r="C8" s="143">
        <v>17</v>
      </c>
      <c r="D8" s="17"/>
      <c r="E8" s="375" t="s">
        <v>184</v>
      </c>
    </row>
    <row r="9" spans="1:5" ht="20.25" customHeight="1">
      <c r="A9" s="374" t="s">
        <v>189</v>
      </c>
      <c r="B9" s="55" t="s">
        <v>17</v>
      </c>
      <c r="C9" s="143">
        <v>0</v>
      </c>
      <c r="D9" s="17"/>
      <c r="E9" s="376"/>
    </row>
    <row r="10" spans="1:5" ht="27" customHeight="1">
      <c r="A10" s="395" t="s">
        <v>190</v>
      </c>
      <c r="B10" s="394" t="s">
        <v>17</v>
      </c>
      <c r="C10" s="144">
        <v>25</v>
      </c>
      <c r="D10" s="53"/>
      <c r="E10" s="385" t="s">
        <v>200</v>
      </c>
    </row>
    <row r="11" spans="1:5" ht="18" customHeight="1">
      <c r="A11" s="374" t="s">
        <v>202</v>
      </c>
      <c r="B11" s="55" t="s">
        <v>203</v>
      </c>
      <c r="C11" s="143">
        <v>30</v>
      </c>
      <c r="D11" s="17"/>
      <c r="E11" s="375"/>
    </row>
    <row r="12" spans="1:5" ht="18" customHeight="1">
      <c r="A12" s="395" t="s">
        <v>19</v>
      </c>
      <c r="B12" s="55" t="s">
        <v>94</v>
      </c>
      <c r="C12" s="142">
        <v>0.16</v>
      </c>
      <c r="D12" s="17"/>
      <c r="E12" s="375" t="s">
        <v>181</v>
      </c>
    </row>
    <row r="13" spans="1:5" ht="18" customHeight="1">
      <c r="A13" s="395" t="s">
        <v>21</v>
      </c>
      <c r="B13" s="62" t="s">
        <v>94</v>
      </c>
      <c r="C13" s="142">
        <v>0.2</v>
      </c>
      <c r="D13" s="17"/>
      <c r="E13" s="375" t="s">
        <v>95</v>
      </c>
    </row>
    <row r="14" spans="1:5" ht="18" customHeight="1">
      <c r="A14" s="395" t="s">
        <v>22</v>
      </c>
      <c r="B14" s="62" t="s">
        <v>94</v>
      </c>
      <c r="C14" s="142">
        <v>0.16</v>
      </c>
      <c r="D14" s="17"/>
      <c r="E14" s="375" t="s">
        <v>95</v>
      </c>
    </row>
    <row r="15" spans="1:5" ht="18" customHeight="1">
      <c r="A15" s="395" t="s">
        <v>23</v>
      </c>
      <c r="B15" s="62" t="s">
        <v>94</v>
      </c>
      <c r="C15" s="142">
        <v>0.22</v>
      </c>
      <c r="D15" s="17"/>
      <c r="E15" s="375" t="s">
        <v>95</v>
      </c>
    </row>
    <row r="16" spans="1:5" ht="18" customHeight="1">
      <c r="A16" s="386" t="s">
        <v>581</v>
      </c>
      <c r="B16" s="62" t="s">
        <v>11</v>
      </c>
      <c r="C16" s="145">
        <v>0</v>
      </c>
      <c r="D16" s="17"/>
      <c r="E16" s="375"/>
    </row>
    <row r="17" spans="1:8" ht="18" customHeight="1">
      <c r="A17" s="386" t="s">
        <v>605</v>
      </c>
      <c r="B17" s="62" t="s">
        <v>11</v>
      </c>
      <c r="C17" s="145">
        <v>0</v>
      </c>
      <c r="D17" s="17"/>
      <c r="E17" s="375"/>
      <c r="H17" s="53"/>
    </row>
    <row r="18" spans="1:5" ht="18" customHeight="1">
      <c r="A18" s="374" t="s">
        <v>96</v>
      </c>
      <c r="B18" s="55" t="s">
        <v>97</v>
      </c>
      <c r="C18" s="143">
        <v>10.5</v>
      </c>
      <c r="D18" s="17" t="s">
        <v>98</v>
      </c>
      <c r="E18" s="375"/>
    </row>
    <row r="19" spans="1:5" ht="18" customHeight="1">
      <c r="A19" s="374" t="s">
        <v>246</v>
      </c>
      <c r="B19" s="55" t="s">
        <v>201</v>
      </c>
      <c r="C19" s="143">
        <v>1.8</v>
      </c>
      <c r="D19" s="17"/>
      <c r="E19" s="375"/>
    </row>
    <row r="20" spans="1:5" ht="18" customHeight="1">
      <c r="A20" s="374" t="s">
        <v>247</v>
      </c>
      <c r="B20" s="55" t="s">
        <v>201</v>
      </c>
      <c r="C20" s="143">
        <v>1.7</v>
      </c>
      <c r="D20" s="17"/>
      <c r="E20" s="375"/>
    </row>
    <row r="21" spans="1:5" ht="18" customHeight="1">
      <c r="A21" s="374" t="s">
        <v>114</v>
      </c>
      <c r="B21" s="55" t="s">
        <v>329</v>
      </c>
      <c r="C21" s="143">
        <v>2</v>
      </c>
      <c r="D21" s="17"/>
      <c r="E21" s="375"/>
    </row>
    <row r="22" spans="1:5" ht="25.5">
      <c r="A22" s="374" t="s">
        <v>99</v>
      </c>
      <c r="B22" s="55" t="s">
        <v>17</v>
      </c>
      <c r="C22" s="143">
        <v>2500</v>
      </c>
      <c r="D22" s="17" t="s">
        <v>100</v>
      </c>
      <c r="E22" s="375" t="s">
        <v>101</v>
      </c>
    </row>
    <row r="23" spans="1:5" ht="51">
      <c r="A23" s="374" t="s">
        <v>102</v>
      </c>
      <c r="B23" s="55" t="s">
        <v>17</v>
      </c>
      <c r="C23" s="143">
        <v>500</v>
      </c>
      <c r="D23" s="17" t="s">
        <v>182</v>
      </c>
      <c r="E23" s="375"/>
    </row>
    <row r="24" spans="1:5" ht="32.25" customHeight="1" thickBot="1">
      <c r="A24" s="378" t="s">
        <v>103</v>
      </c>
      <c r="B24" s="379" t="s">
        <v>17</v>
      </c>
      <c r="C24" s="387">
        <v>115</v>
      </c>
      <c r="D24" s="381" t="s">
        <v>186</v>
      </c>
      <c r="E24" s="382" t="s">
        <v>185</v>
      </c>
    </row>
    <row r="25" spans="1:5" ht="18" customHeight="1">
      <c r="A25" s="56" t="s">
        <v>104</v>
      </c>
      <c r="B25" s="57"/>
      <c r="C25" s="72"/>
      <c r="D25" s="53"/>
      <c r="E25" s="54"/>
    </row>
    <row r="26" spans="1:5" ht="18" customHeight="1">
      <c r="A26" s="56"/>
      <c r="B26" s="57"/>
      <c r="C26" s="72"/>
      <c r="D26" s="53"/>
      <c r="E26" s="54"/>
    </row>
    <row r="27" spans="1:5" ht="24.75" customHeight="1" thickBot="1">
      <c r="A27" s="383" t="s">
        <v>105</v>
      </c>
      <c r="B27" s="705"/>
      <c r="C27" s="705"/>
      <c r="D27" s="705"/>
      <c r="E27" s="705"/>
    </row>
    <row r="28" spans="1:5" ht="21" customHeight="1" thickBot="1">
      <c r="A28" s="765" t="s">
        <v>41</v>
      </c>
      <c r="B28" s="765" t="s">
        <v>2</v>
      </c>
      <c r="C28" s="765" t="s">
        <v>3</v>
      </c>
      <c r="D28" s="765" t="s">
        <v>89</v>
      </c>
      <c r="E28" s="765" t="s">
        <v>90</v>
      </c>
    </row>
    <row r="29" spans="1:5" ht="18" customHeight="1">
      <c r="A29" s="369" t="s">
        <v>106</v>
      </c>
      <c r="B29" s="370" t="s">
        <v>17</v>
      </c>
      <c r="C29" s="371">
        <v>50</v>
      </c>
      <c r="D29" s="372"/>
      <c r="E29" s="373"/>
    </row>
    <row r="30" spans="1:5" ht="18" customHeight="1">
      <c r="A30" s="374" t="s">
        <v>107</v>
      </c>
      <c r="B30" s="55" t="s">
        <v>17</v>
      </c>
      <c r="C30" s="142">
        <v>39</v>
      </c>
      <c r="D30" s="17" t="s">
        <v>108</v>
      </c>
      <c r="E30" s="375" t="s">
        <v>109</v>
      </c>
    </row>
    <row r="31" spans="1:5" ht="18" customHeight="1">
      <c r="A31" s="660" t="s">
        <v>613</v>
      </c>
      <c r="B31" s="661" t="s">
        <v>94</v>
      </c>
      <c r="C31" s="142">
        <v>0.16</v>
      </c>
      <c r="D31" s="17"/>
      <c r="E31" s="662"/>
    </row>
    <row r="32" spans="1:5" ht="18" customHeight="1">
      <c r="A32" s="663" t="s">
        <v>384</v>
      </c>
      <c r="B32" s="661" t="s">
        <v>17</v>
      </c>
      <c r="C32" s="142">
        <v>30</v>
      </c>
      <c r="D32" s="17"/>
      <c r="E32" s="662"/>
    </row>
    <row r="33" spans="1:5" ht="25.5">
      <c r="A33" s="374" t="s">
        <v>110</v>
      </c>
      <c r="B33" s="55" t="s">
        <v>17</v>
      </c>
      <c r="C33" s="143">
        <f>1.9*500</f>
        <v>950</v>
      </c>
      <c r="D33" s="17" t="s">
        <v>111</v>
      </c>
      <c r="E33" s="376" t="s">
        <v>112</v>
      </c>
    </row>
    <row r="34" spans="1:5" ht="63.75">
      <c r="A34" s="374" t="s">
        <v>562</v>
      </c>
      <c r="B34" s="55" t="s">
        <v>17</v>
      </c>
      <c r="C34" s="143">
        <v>568</v>
      </c>
      <c r="D34" s="17"/>
      <c r="E34" s="377" t="s">
        <v>113</v>
      </c>
    </row>
    <row r="35" spans="1:5" ht="18.75" customHeight="1">
      <c r="A35" s="374" t="s">
        <v>114</v>
      </c>
      <c r="B35" s="55" t="s">
        <v>115</v>
      </c>
      <c r="C35" s="143">
        <v>2</v>
      </c>
      <c r="D35" s="17"/>
      <c r="E35" s="375" t="s">
        <v>116</v>
      </c>
    </row>
    <row r="36" spans="1:5" ht="25.5">
      <c r="A36" s="374" t="s">
        <v>117</v>
      </c>
      <c r="B36" s="55" t="s">
        <v>17</v>
      </c>
      <c r="C36" s="142">
        <v>850</v>
      </c>
      <c r="D36" s="17" t="s">
        <v>118</v>
      </c>
      <c r="E36" s="376" t="s">
        <v>119</v>
      </c>
    </row>
    <row r="37" spans="1:5" ht="18" customHeight="1">
      <c r="A37" s="374" t="s">
        <v>120</v>
      </c>
      <c r="B37" s="55" t="s">
        <v>17</v>
      </c>
      <c r="C37" s="142">
        <v>50</v>
      </c>
      <c r="D37" s="17" t="s">
        <v>121</v>
      </c>
      <c r="E37" s="375" t="s">
        <v>122</v>
      </c>
    </row>
    <row r="38" spans="1:5" ht="25.5" customHeight="1">
      <c r="A38" s="374" t="s">
        <v>123</v>
      </c>
      <c r="B38" s="55" t="s">
        <v>17</v>
      </c>
      <c r="C38" s="142">
        <v>350</v>
      </c>
      <c r="D38" s="17" t="s">
        <v>124</v>
      </c>
      <c r="E38" s="376"/>
    </row>
    <row r="39" spans="1:5" ht="18" customHeight="1">
      <c r="A39" s="374" t="s">
        <v>125</v>
      </c>
      <c r="B39" s="55" t="s">
        <v>17</v>
      </c>
      <c r="C39" s="142">
        <v>100</v>
      </c>
      <c r="D39" s="17" t="s">
        <v>126</v>
      </c>
      <c r="E39" s="375" t="s">
        <v>116</v>
      </c>
    </row>
    <row r="40" spans="1:5" ht="18" customHeight="1">
      <c r="A40" s="374" t="s">
        <v>127</v>
      </c>
      <c r="B40" s="55" t="s">
        <v>17</v>
      </c>
      <c r="C40" s="142">
        <v>75</v>
      </c>
      <c r="D40" s="17"/>
      <c r="E40" s="375" t="s">
        <v>128</v>
      </c>
    </row>
    <row r="41" spans="1:5" ht="18" customHeight="1">
      <c r="A41" s="374" t="s">
        <v>129</v>
      </c>
      <c r="B41" s="55" t="s">
        <v>17</v>
      </c>
      <c r="C41" s="142">
        <v>95</v>
      </c>
      <c r="D41" s="17"/>
      <c r="E41" s="375" t="s">
        <v>128</v>
      </c>
    </row>
    <row r="42" spans="1:5" ht="26.25" customHeight="1">
      <c r="A42" s="374" t="s">
        <v>662</v>
      </c>
      <c r="B42" s="55" t="s">
        <v>11</v>
      </c>
      <c r="C42" s="142">
        <v>25</v>
      </c>
      <c r="D42" s="17"/>
      <c r="E42" s="376" t="s">
        <v>656</v>
      </c>
    </row>
    <row r="43" spans="1:5" ht="18" customHeight="1">
      <c r="A43" s="374" t="s">
        <v>130</v>
      </c>
      <c r="B43" s="55" t="s">
        <v>131</v>
      </c>
      <c r="C43" s="142">
        <v>170</v>
      </c>
      <c r="D43" s="17" t="s">
        <v>132</v>
      </c>
      <c r="E43" s="375" t="s">
        <v>122</v>
      </c>
    </row>
    <row r="44" spans="1:5" ht="18" customHeight="1" thickBot="1">
      <c r="A44" s="378" t="s">
        <v>133</v>
      </c>
      <c r="B44" s="379" t="s">
        <v>11</v>
      </c>
      <c r="C44" s="380">
        <v>5.74</v>
      </c>
      <c r="D44" s="381" t="s">
        <v>187</v>
      </c>
      <c r="E44" s="382" t="s">
        <v>188</v>
      </c>
    </row>
    <row r="45" spans="1:5" ht="18" customHeight="1">
      <c r="A45" s="56"/>
      <c r="B45" s="54"/>
      <c r="C45" s="54"/>
      <c r="D45" s="53"/>
      <c r="E45" s="54"/>
    </row>
    <row r="46" spans="1:5" ht="23.25">
      <c r="A46" s="767" t="s">
        <v>566</v>
      </c>
      <c r="B46" s="768"/>
      <c r="C46" s="54"/>
      <c r="D46" s="53"/>
      <c r="E46" s="54"/>
    </row>
    <row r="47" spans="1:13" s="78" customFormat="1" ht="18.75" customHeight="1" thickBot="1">
      <c r="A47" s="78" t="s">
        <v>569</v>
      </c>
      <c r="B47" s="391"/>
      <c r="C47" s="391"/>
      <c r="D47" s="391"/>
      <c r="E47" s="392"/>
      <c r="F47" s="392"/>
      <c r="I47" s="391"/>
      <c r="J47" s="391"/>
      <c r="K47" s="391"/>
      <c r="L47" s="392"/>
      <c r="M47" s="392"/>
    </row>
    <row r="48" spans="1:13" s="78" customFormat="1" ht="18.75" customHeight="1">
      <c r="A48" s="396" t="s">
        <v>177</v>
      </c>
      <c r="B48" s="397">
        <f>SUM(C78:C81)/COUNT(C78:C81)</f>
        <v>420.25</v>
      </c>
      <c r="C48" s="391"/>
      <c r="D48" s="391"/>
      <c r="E48" s="392"/>
      <c r="F48" s="392"/>
      <c r="H48" s="57"/>
      <c r="I48" s="393"/>
      <c r="J48" s="393"/>
      <c r="K48" s="393"/>
      <c r="L48" s="393"/>
      <c r="M48" s="393"/>
    </row>
    <row r="49" spans="1:13" s="78" customFormat="1" ht="18.75" customHeight="1">
      <c r="A49" s="398" t="s">
        <v>178</v>
      </c>
      <c r="B49" s="399">
        <f>SUM(C92:C95)/COUNT(C92:C95)</f>
        <v>256</v>
      </c>
      <c r="C49" s="391"/>
      <c r="D49" s="391"/>
      <c r="E49" s="392"/>
      <c r="F49" s="392"/>
      <c r="H49" s="57"/>
      <c r="I49" s="393"/>
      <c r="J49" s="393"/>
      <c r="K49" s="393"/>
      <c r="L49" s="393"/>
      <c r="M49" s="393"/>
    </row>
    <row r="50" spans="1:13" s="78" customFormat="1" ht="18.75" customHeight="1">
      <c r="A50" s="398" t="s">
        <v>179</v>
      </c>
      <c r="B50" s="399">
        <f>(J75+J76+J81+J82)/COUNT(J75,J76,J81,J82)</f>
        <v>449</v>
      </c>
      <c r="C50" s="388"/>
      <c r="D50" s="388"/>
      <c r="E50" s="389"/>
      <c r="F50" s="390"/>
      <c r="H50" s="57"/>
      <c r="I50" s="393"/>
      <c r="J50" s="393"/>
      <c r="K50" s="393"/>
      <c r="L50" s="393"/>
      <c r="M50" s="393"/>
    </row>
    <row r="51" spans="1:13" s="78" customFormat="1" ht="18.75" customHeight="1">
      <c r="A51" s="400" t="s">
        <v>567</v>
      </c>
      <c r="B51" s="399">
        <f>(C83+C97)/COUNT(C83,C97)</f>
        <v>98</v>
      </c>
      <c r="C51" s="391"/>
      <c r="D51" s="391"/>
      <c r="E51" s="392"/>
      <c r="F51" s="392"/>
      <c r="I51" s="391"/>
      <c r="J51" s="391"/>
      <c r="K51" s="391"/>
      <c r="L51" s="392"/>
      <c r="M51" s="392"/>
    </row>
    <row r="52" spans="1:13" s="78" customFormat="1" ht="18.75" customHeight="1">
      <c r="A52" s="400" t="s">
        <v>570</v>
      </c>
      <c r="B52" s="399">
        <f>(C82+C96)/2</f>
        <v>45</v>
      </c>
      <c r="C52" s="391"/>
      <c r="D52" s="391"/>
      <c r="E52" s="392"/>
      <c r="F52" s="392"/>
      <c r="I52" s="391"/>
      <c r="J52" s="391"/>
      <c r="K52" s="391"/>
      <c r="L52" s="392"/>
      <c r="M52" s="392"/>
    </row>
    <row r="53" spans="1:13" s="78" customFormat="1" ht="18.75" customHeight="1" thickBot="1">
      <c r="A53" s="401" t="s">
        <v>568</v>
      </c>
      <c r="B53" s="402">
        <f>(J78+J84+J87)/COUNT(J78,J84,J87)</f>
        <v>20.333333333333332</v>
      </c>
      <c r="C53" s="391"/>
      <c r="D53" s="391"/>
      <c r="E53" s="392"/>
      <c r="F53" s="392"/>
      <c r="I53" s="391"/>
      <c r="J53" s="391"/>
      <c r="K53" s="391"/>
      <c r="L53" s="392"/>
      <c r="M53" s="392"/>
    </row>
    <row r="54" spans="1:5" ht="18.75" customHeight="1">
      <c r="A54" s="54"/>
      <c r="B54" s="54"/>
      <c r="C54" s="54"/>
      <c r="D54" s="53"/>
      <c r="E54" s="54"/>
    </row>
    <row r="57" spans="1:11" ht="15.75">
      <c r="A57" s="88" t="s">
        <v>134</v>
      </c>
      <c r="B57" s="89"/>
      <c r="C57" s="89"/>
      <c r="D57" s="89"/>
      <c r="E57" s="90"/>
      <c r="F57" s="90"/>
      <c r="G57" s="91"/>
      <c r="H57" s="90" t="s">
        <v>135</v>
      </c>
      <c r="I57" s="92" t="s">
        <v>136</v>
      </c>
      <c r="J57" s="91"/>
      <c r="K57" s="89"/>
    </row>
    <row r="58" spans="1:11" ht="12.75">
      <c r="A58" s="91" t="s">
        <v>137</v>
      </c>
      <c r="B58" s="89"/>
      <c r="C58" s="89"/>
      <c r="D58" s="89"/>
      <c r="E58" s="90"/>
      <c r="F58" s="90"/>
      <c r="G58" s="91"/>
      <c r="H58" s="90" t="s">
        <v>138</v>
      </c>
      <c r="I58" s="92" t="s">
        <v>139</v>
      </c>
      <c r="J58" s="91"/>
      <c r="K58" s="89"/>
    </row>
    <row r="59" spans="1:11" ht="12.75">
      <c r="A59" s="91" t="s">
        <v>140</v>
      </c>
      <c r="B59" s="89"/>
      <c r="C59" s="89"/>
      <c r="D59" s="89"/>
      <c r="E59" s="90"/>
      <c r="F59" s="90"/>
      <c r="G59" s="91"/>
      <c r="H59" s="90" t="s">
        <v>141</v>
      </c>
      <c r="I59" s="92" t="s">
        <v>142</v>
      </c>
      <c r="J59" s="91"/>
      <c r="K59" s="89"/>
    </row>
    <row r="60" ht="12.75">
      <c r="D60"/>
    </row>
    <row r="61" ht="12.75">
      <c r="D61"/>
    </row>
    <row r="62" ht="12.75">
      <c r="D62"/>
    </row>
    <row r="63" ht="12.75">
      <c r="D63"/>
    </row>
    <row r="64" spans="1:13" ht="14.25">
      <c r="A64" s="93" t="s">
        <v>610</v>
      </c>
      <c r="B64" s="94"/>
      <c r="C64" s="94"/>
      <c r="D64" s="94"/>
      <c r="E64" s="95"/>
      <c r="F64" s="95"/>
      <c r="G64" s="96"/>
      <c r="H64" s="96"/>
      <c r="I64" s="94"/>
      <c r="J64" s="94"/>
      <c r="K64" s="94"/>
      <c r="L64" s="95"/>
      <c r="M64" s="97" t="s">
        <v>143</v>
      </c>
    </row>
    <row r="65" spans="1:13" ht="12.75">
      <c r="A65" s="91"/>
      <c r="B65" s="98"/>
      <c r="C65" s="98"/>
      <c r="D65" s="98"/>
      <c r="E65" s="99"/>
      <c r="F65" s="99"/>
      <c r="G65" s="91"/>
      <c r="H65" s="91"/>
      <c r="I65" s="89"/>
      <c r="J65" s="89"/>
      <c r="K65" s="89"/>
      <c r="L65" s="100"/>
      <c r="M65" s="100"/>
    </row>
    <row r="66" spans="1:13" ht="14.25">
      <c r="A66" s="93" t="s">
        <v>144</v>
      </c>
      <c r="B66" s="89"/>
      <c r="C66" s="89"/>
      <c r="D66" s="89"/>
      <c r="E66" s="99" t="s">
        <v>145</v>
      </c>
      <c r="F66" s="99" t="s">
        <v>145</v>
      </c>
      <c r="G66" s="91"/>
      <c r="H66" s="93" t="s">
        <v>144</v>
      </c>
      <c r="I66" s="89"/>
      <c r="J66" s="89"/>
      <c r="K66" s="89"/>
      <c r="L66" s="99" t="s">
        <v>145</v>
      </c>
      <c r="M66" s="99" t="s">
        <v>145</v>
      </c>
    </row>
    <row r="67" spans="1:13" ht="12.75">
      <c r="A67" s="91"/>
      <c r="B67" s="89"/>
      <c r="C67" s="98" t="s">
        <v>146</v>
      </c>
      <c r="D67" s="89"/>
      <c r="E67" s="99" t="s">
        <v>147</v>
      </c>
      <c r="F67" s="99" t="s">
        <v>148</v>
      </c>
      <c r="G67" s="91"/>
      <c r="H67" s="91"/>
      <c r="I67" s="89"/>
      <c r="J67" s="98" t="s">
        <v>146</v>
      </c>
      <c r="K67" s="89"/>
      <c r="L67" s="99" t="s">
        <v>147</v>
      </c>
      <c r="M67" s="99" t="s">
        <v>148</v>
      </c>
    </row>
    <row r="68" spans="1:13" ht="12.75">
      <c r="A68" s="101" t="s">
        <v>149</v>
      </c>
      <c r="B68" s="98" t="s">
        <v>150</v>
      </c>
      <c r="C68" s="102" t="s">
        <v>151</v>
      </c>
      <c r="D68" s="98" t="s">
        <v>152</v>
      </c>
      <c r="E68" s="99" t="s">
        <v>153</v>
      </c>
      <c r="F68" s="99" t="s">
        <v>153</v>
      </c>
      <c r="G68" s="91"/>
      <c r="H68" s="101" t="s">
        <v>149</v>
      </c>
      <c r="I68" s="98" t="s">
        <v>150</v>
      </c>
      <c r="J68" s="102" t="s">
        <v>151</v>
      </c>
      <c r="K68" s="98" t="s">
        <v>152</v>
      </c>
      <c r="L68" s="99" t="s">
        <v>153</v>
      </c>
      <c r="M68" s="99" t="s">
        <v>153</v>
      </c>
    </row>
    <row r="69" spans="1:13" ht="12.75">
      <c r="A69" s="103" t="s">
        <v>154</v>
      </c>
      <c r="B69" s="98"/>
      <c r="C69" s="102"/>
      <c r="D69" s="98"/>
      <c r="E69" s="99"/>
      <c r="F69" s="99"/>
      <c r="G69" s="91"/>
      <c r="H69" s="103" t="s">
        <v>154</v>
      </c>
      <c r="I69" s="98"/>
      <c r="J69" s="102"/>
      <c r="K69" s="98"/>
      <c r="L69" s="99"/>
      <c r="M69" s="99"/>
    </row>
    <row r="70" spans="1:13" ht="12.75">
      <c r="A70" s="104" t="s">
        <v>155</v>
      </c>
      <c r="B70" s="105"/>
      <c r="C70" s="106"/>
      <c r="D70" s="105"/>
      <c r="E70" s="107"/>
      <c r="F70" s="107"/>
      <c r="G70" s="108"/>
      <c r="H70" s="104" t="s">
        <v>156</v>
      </c>
      <c r="I70" s="105"/>
      <c r="J70" s="106"/>
      <c r="K70" s="105"/>
      <c r="L70" s="107"/>
      <c r="M70" s="107"/>
    </row>
    <row r="71" spans="1:13" ht="12.75">
      <c r="A71" s="109" t="s">
        <v>157</v>
      </c>
      <c r="B71" s="105">
        <v>630</v>
      </c>
      <c r="C71" s="106">
        <v>599</v>
      </c>
      <c r="D71" s="105">
        <v>570</v>
      </c>
      <c r="E71" s="107">
        <v>-0.06</v>
      </c>
      <c r="F71" s="107">
        <v>0.01</v>
      </c>
      <c r="G71" s="108"/>
      <c r="H71" s="109" t="s">
        <v>158</v>
      </c>
      <c r="I71" s="105">
        <v>1300</v>
      </c>
      <c r="J71" s="106">
        <v>1134</v>
      </c>
      <c r="K71" s="105">
        <v>900</v>
      </c>
      <c r="L71" s="110">
        <v>0.01</v>
      </c>
      <c r="M71" s="110">
        <v>0.47</v>
      </c>
    </row>
    <row r="72" spans="1:13" ht="12.75">
      <c r="A72" s="109" t="s">
        <v>159</v>
      </c>
      <c r="B72" s="105">
        <v>600</v>
      </c>
      <c r="C72" s="106">
        <v>557</v>
      </c>
      <c r="D72" s="105">
        <v>525</v>
      </c>
      <c r="E72" s="107">
        <v>-0.05</v>
      </c>
      <c r="F72" s="107">
        <v>0.02</v>
      </c>
      <c r="G72" s="108"/>
      <c r="H72" s="111" t="s">
        <v>160</v>
      </c>
      <c r="I72" s="105">
        <v>1150</v>
      </c>
      <c r="J72" s="106">
        <v>740</v>
      </c>
      <c r="K72" s="105">
        <v>500</v>
      </c>
      <c r="L72" s="107">
        <v>-0.09</v>
      </c>
      <c r="M72" s="110" t="s">
        <v>161</v>
      </c>
    </row>
    <row r="73" spans="1:13" ht="12.75">
      <c r="A73" s="109" t="s">
        <v>162</v>
      </c>
      <c r="B73" s="105">
        <v>600</v>
      </c>
      <c r="C73" s="106">
        <v>570</v>
      </c>
      <c r="D73" s="105">
        <v>550</v>
      </c>
      <c r="E73" s="107">
        <v>-0.04</v>
      </c>
      <c r="F73" s="107">
        <v>0.03</v>
      </c>
      <c r="G73" s="108"/>
      <c r="H73" s="112"/>
      <c r="I73" s="105"/>
      <c r="J73" s="106"/>
      <c r="K73" s="105"/>
      <c r="L73" s="107"/>
      <c r="M73" s="113"/>
    </row>
    <row r="74" spans="1:13" ht="12.75">
      <c r="A74" s="109" t="s">
        <v>163</v>
      </c>
      <c r="B74" s="105">
        <v>520</v>
      </c>
      <c r="C74" s="106">
        <v>466</v>
      </c>
      <c r="D74" s="105">
        <v>380</v>
      </c>
      <c r="E74" s="107">
        <v>-0.03</v>
      </c>
      <c r="F74" s="107">
        <v>-0.05</v>
      </c>
      <c r="G74" s="108"/>
      <c r="H74" s="112" t="s">
        <v>164</v>
      </c>
      <c r="I74" s="105"/>
      <c r="J74" s="106"/>
      <c r="K74" s="105"/>
      <c r="L74" s="107"/>
      <c r="M74" s="113"/>
    </row>
    <row r="75" spans="1:13" ht="12.75">
      <c r="A75" s="109" t="s">
        <v>165</v>
      </c>
      <c r="B75" s="105">
        <v>560</v>
      </c>
      <c r="C75" s="106">
        <v>518</v>
      </c>
      <c r="D75" s="105">
        <v>500</v>
      </c>
      <c r="E75" s="107">
        <v>-0.04</v>
      </c>
      <c r="F75" s="107">
        <v>0</v>
      </c>
      <c r="G75" s="108"/>
      <c r="H75" s="109" t="s">
        <v>166</v>
      </c>
      <c r="I75" s="105">
        <v>650</v>
      </c>
      <c r="J75" s="106">
        <v>586</v>
      </c>
      <c r="K75" s="105">
        <v>540</v>
      </c>
      <c r="L75" s="114">
        <v>0</v>
      </c>
      <c r="M75" s="107">
        <v>0.11</v>
      </c>
    </row>
    <row r="76" spans="1:13" ht="12.75">
      <c r="A76" s="104"/>
      <c r="B76" s="115"/>
      <c r="C76" s="116"/>
      <c r="D76" s="115"/>
      <c r="E76" s="117"/>
      <c r="F76" s="117"/>
      <c r="G76" s="108"/>
      <c r="H76" s="109" t="s">
        <v>158</v>
      </c>
      <c r="I76" s="105">
        <v>600</v>
      </c>
      <c r="J76" s="106">
        <v>497</v>
      </c>
      <c r="K76" s="105">
        <v>325</v>
      </c>
      <c r="L76" s="107">
        <v>0</v>
      </c>
      <c r="M76" s="118">
        <v>0.08</v>
      </c>
    </row>
    <row r="77" spans="1:13" ht="12.75">
      <c r="A77" s="104" t="s">
        <v>167</v>
      </c>
      <c r="B77" s="115"/>
      <c r="C77" s="116"/>
      <c r="D77" s="115"/>
      <c r="E77" s="117"/>
      <c r="F77" s="117"/>
      <c r="G77" s="108"/>
      <c r="H77" s="109" t="s">
        <v>168</v>
      </c>
      <c r="I77" s="105">
        <v>177</v>
      </c>
      <c r="J77" s="106">
        <v>139</v>
      </c>
      <c r="K77" s="105">
        <v>100</v>
      </c>
      <c r="L77" s="107">
        <v>0</v>
      </c>
      <c r="M77" s="107">
        <v>0.16</v>
      </c>
    </row>
    <row r="78" spans="1:13" ht="12.75">
      <c r="A78" s="109" t="s">
        <v>166</v>
      </c>
      <c r="B78" s="105">
        <v>550</v>
      </c>
      <c r="C78" s="106">
        <v>467</v>
      </c>
      <c r="D78" s="105">
        <v>400</v>
      </c>
      <c r="E78" s="107">
        <v>-0.01</v>
      </c>
      <c r="F78" s="107">
        <v>-0.01</v>
      </c>
      <c r="G78" s="108"/>
      <c r="H78" s="109" t="s">
        <v>169</v>
      </c>
      <c r="I78" s="105">
        <v>26</v>
      </c>
      <c r="J78" s="106">
        <v>22</v>
      </c>
      <c r="K78" s="105">
        <v>16</v>
      </c>
      <c r="L78" s="110">
        <v>0</v>
      </c>
      <c r="M78" s="110">
        <v>0</v>
      </c>
    </row>
    <row r="79" spans="1:13" ht="12.75">
      <c r="A79" s="109" t="s">
        <v>158</v>
      </c>
      <c r="B79" s="105">
        <v>475</v>
      </c>
      <c r="C79" s="106">
        <v>391</v>
      </c>
      <c r="D79" s="105">
        <v>300</v>
      </c>
      <c r="E79" s="107">
        <v>-0.02</v>
      </c>
      <c r="F79" s="107">
        <v>-0.11</v>
      </c>
      <c r="G79" s="108"/>
      <c r="H79" s="109"/>
      <c r="I79" s="105"/>
      <c r="J79" s="106"/>
      <c r="K79" s="105"/>
      <c r="L79" s="110"/>
      <c r="M79" s="107"/>
    </row>
    <row r="80" spans="1:13" ht="12.75">
      <c r="A80" s="109" t="s">
        <v>160</v>
      </c>
      <c r="B80" s="105">
        <v>500</v>
      </c>
      <c r="C80" s="106">
        <v>423</v>
      </c>
      <c r="D80" s="105">
        <v>375</v>
      </c>
      <c r="E80" s="107">
        <v>0.06</v>
      </c>
      <c r="F80" s="107">
        <v>0.13</v>
      </c>
      <c r="G80" s="108"/>
      <c r="H80" s="119" t="s">
        <v>170</v>
      </c>
      <c r="I80" s="105"/>
      <c r="J80" s="106"/>
      <c r="K80" s="105"/>
      <c r="L80" s="107"/>
      <c r="M80" s="107"/>
    </row>
    <row r="81" spans="1:13" ht="12.75">
      <c r="A81" s="109" t="s">
        <v>171</v>
      </c>
      <c r="B81" s="105">
        <v>427</v>
      </c>
      <c r="C81" s="106">
        <v>400</v>
      </c>
      <c r="D81" s="105">
        <v>360</v>
      </c>
      <c r="E81" s="107">
        <v>-0.01</v>
      </c>
      <c r="F81" s="107">
        <v>-0.01</v>
      </c>
      <c r="G81" s="108"/>
      <c r="H81" s="111" t="s">
        <v>166</v>
      </c>
      <c r="I81" s="105">
        <v>450</v>
      </c>
      <c r="J81" s="106">
        <v>383</v>
      </c>
      <c r="K81" s="105">
        <v>250</v>
      </c>
      <c r="L81" s="110">
        <v>0</v>
      </c>
      <c r="M81" s="110" t="s">
        <v>161</v>
      </c>
    </row>
    <row r="82" spans="1:13" ht="12.75">
      <c r="A82" s="120" t="s">
        <v>172</v>
      </c>
      <c r="B82" s="105">
        <v>59</v>
      </c>
      <c r="C82" s="106">
        <v>57</v>
      </c>
      <c r="D82" s="105">
        <v>55</v>
      </c>
      <c r="E82" s="110">
        <v>0</v>
      </c>
      <c r="F82" s="110" t="s">
        <v>161</v>
      </c>
      <c r="G82" s="108"/>
      <c r="H82" s="111" t="s">
        <v>158</v>
      </c>
      <c r="I82" s="105">
        <v>425</v>
      </c>
      <c r="J82" s="106">
        <v>330</v>
      </c>
      <c r="K82" s="105">
        <v>200</v>
      </c>
      <c r="L82" s="110">
        <v>0</v>
      </c>
      <c r="M82" s="107">
        <v>-0.06</v>
      </c>
    </row>
    <row r="83" spans="1:13" ht="12.75">
      <c r="A83" s="109" t="s">
        <v>168</v>
      </c>
      <c r="B83" s="105">
        <v>132</v>
      </c>
      <c r="C83" s="106">
        <v>104</v>
      </c>
      <c r="D83" s="105">
        <v>50</v>
      </c>
      <c r="E83" s="110">
        <v>0</v>
      </c>
      <c r="F83" s="107">
        <v>0.08</v>
      </c>
      <c r="G83" s="108"/>
      <c r="H83" s="111" t="s">
        <v>168</v>
      </c>
      <c r="I83" s="105">
        <v>125</v>
      </c>
      <c r="J83" s="106">
        <v>108</v>
      </c>
      <c r="K83" s="105">
        <v>100</v>
      </c>
      <c r="L83" s="110">
        <v>0</v>
      </c>
      <c r="M83" s="110" t="s">
        <v>161</v>
      </c>
    </row>
    <row r="84" spans="1:13" ht="12.75">
      <c r="A84" s="112"/>
      <c r="B84" s="105"/>
      <c r="C84" s="106"/>
      <c r="D84" s="105"/>
      <c r="E84" s="107"/>
      <c r="F84" s="107"/>
      <c r="G84" s="121"/>
      <c r="H84" s="111" t="s">
        <v>169</v>
      </c>
      <c r="I84" s="105">
        <v>20</v>
      </c>
      <c r="J84" s="106">
        <v>20</v>
      </c>
      <c r="K84" s="105">
        <v>20</v>
      </c>
      <c r="L84" s="110">
        <v>0</v>
      </c>
      <c r="M84" s="110" t="s">
        <v>161</v>
      </c>
    </row>
    <row r="85" spans="1:13" ht="12.75">
      <c r="A85" s="112" t="s">
        <v>173</v>
      </c>
      <c r="B85" s="105"/>
      <c r="C85" s="106"/>
      <c r="D85" s="105"/>
      <c r="E85" s="107"/>
      <c r="F85" s="107"/>
      <c r="G85" s="121"/>
      <c r="H85" s="119"/>
      <c r="I85" s="105"/>
      <c r="J85" s="106"/>
      <c r="K85" s="105"/>
      <c r="L85" s="107"/>
      <c r="M85" s="107"/>
    </row>
    <row r="86" spans="1:13" ht="12.75">
      <c r="A86" s="109" t="s">
        <v>157</v>
      </c>
      <c r="B86" s="105">
        <v>350</v>
      </c>
      <c r="C86" s="106">
        <v>289</v>
      </c>
      <c r="D86" s="105">
        <v>210</v>
      </c>
      <c r="E86" s="107">
        <v>-0.02</v>
      </c>
      <c r="F86" s="107">
        <v>-0.1</v>
      </c>
      <c r="G86" s="108"/>
      <c r="H86" s="119" t="s">
        <v>174</v>
      </c>
      <c r="I86" s="105"/>
      <c r="J86" s="106"/>
      <c r="K86" s="105"/>
      <c r="L86" s="107"/>
      <c r="M86" s="107"/>
    </row>
    <row r="87" spans="1:13" ht="12.75">
      <c r="A87" s="109" t="s">
        <v>159</v>
      </c>
      <c r="B87" s="105">
        <v>300</v>
      </c>
      <c r="C87" s="106">
        <v>274</v>
      </c>
      <c r="D87" s="105">
        <v>210</v>
      </c>
      <c r="E87" s="107">
        <v>-0.04</v>
      </c>
      <c r="F87" s="107">
        <v>-0.14</v>
      </c>
      <c r="G87" s="108"/>
      <c r="H87" s="111" t="s">
        <v>169</v>
      </c>
      <c r="I87" s="105">
        <v>20</v>
      </c>
      <c r="J87" s="106">
        <v>19</v>
      </c>
      <c r="K87" s="105">
        <v>18</v>
      </c>
      <c r="L87" s="110">
        <v>0</v>
      </c>
      <c r="M87" s="110" t="s">
        <v>161</v>
      </c>
    </row>
    <row r="88" spans="1:13" ht="12.75">
      <c r="A88" s="109" t="s">
        <v>175</v>
      </c>
      <c r="B88" s="105">
        <v>300</v>
      </c>
      <c r="C88" s="106">
        <v>270</v>
      </c>
      <c r="D88" s="105">
        <v>200</v>
      </c>
      <c r="E88" s="107">
        <v>-0.02</v>
      </c>
      <c r="F88" s="107">
        <v>-0.09</v>
      </c>
      <c r="G88" s="108"/>
      <c r="H88" s="91"/>
      <c r="I88" s="89"/>
      <c r="J88" s="89"/>
      <c r="K88" s="89"/>
      <c r="L88" s="100"/>
      <c r="M88" s="100"/>
    </row>
    <row r="89" spans="1:13" ht="12.75">
      <c r="A89" s="109" t="s">
        <v>165</v>
      </c>
      <c r="B89" s="105">
        <v>300</v>
      </c>
      <c r="C89" s="106">
        <v>262</v>
      </c>
      <c r="D89" s="105">
        <v>200</v>
      </c>
      <c r="E89" s="107">
        <v>-0.03</v>
      </c>
      <c r="F89" s="107">
        <v>-0.17</v>
      </c>
      <c r="G89" s="108"/>
      <c r="H89" s="91"/>
      <c r="I89" s="89"/>
      <c r="J89" s="89"/>
      <c r="K89" s="89"/>
      <c r="L89" s="100"/>
      <c r="M89" s="100"/>
    </row>
    <row r="90" spans="1:13" ht="12.75">
      <c r="A90" s="109"/>
      <c r="B90" s="105"/>
      <c r="C90" s="106"/>
      <c r="D90" s="105"/>
      <c r="E90" s="107"/>
      <c r="F90" s="107"/>
      <c r="G90" s="91"/>
      <c r="H90" s="91"/>
      <c r="I90" s="89"/>
      <c r="J90" s="89"/>
      <c r="K90" s="89"/>
      <c r="L90" s="100"/>
      <c r="M90" s="100"/>
    </row>
    <row r="91" spans="1:13" ht="12.75">
      <c r="A91" s="104" t="s">
        <v>176</v>
      </c>
      <c r="B91" s="115"/>
      <c r="C91" s="116"/>
      <c r="D91" s="115"/>
      <c r="E91" s="122"/>
      <c r="F91" s="122"/>
      <c r="G91" s="91"/>
      <c r="H91" s="91"/>
      <c r="I91" s="89"/>
      <c r="J91" s="89"/>
      <c r="K91" s="89"/>
      <c r="L91" s="100"/>
      <c r="M91" s="100"/>
    </row>
    <row r="92" spans="1:13" ht="12.75">
      <c r="A92" s="109" t="s">
        <v>166</v>
      </c>
      <c r="B92" s="105">
        <v>350</v>
      </c>
      <c r="C92" s="106">
        <v>312</v>
      </c>
      <c r="D92" s="105">
        <v>245</v>
      </c>
      <c r="E92" s="107">
        <v>-0.01</v>
      </c>
      <c r="F92" s="107">
        <v>-0.02</v>
      </c>
      <c r="G92" s="91"/>
      <c r="H92" s="91"/>
      <c r="I92" s="89"/>
      <c r="J92" s="89"/>
      <c r="K92" s="89"/>
      <c r="L92" s="100"/>
      <c r="M92" s="100"/>
    </row>
    <row r="93" spans="1:13" ht="12.75">
      <c r="A93" s="123" t="s">
        <v>158</v>
      </c>
      <c r="B93" s="105">
        <v>350</v>
      </c>
      <c r="C93" s="106">
        <v>262</v>
      </c>
      <c r="D93" s="105">
        <v>220</v>
      </c>
      <c r="E93" s="107">
        <v>0</v>
      </c>
      <c r="F93" s="107">
        <v>-0.06</v>
      </c>
      <c r="G93" s="91"/>
      <c r="H93" s="91"/>
      <c r="I93" s="89"/>
      <c r="J93" s="89"/>
      <c r="K93" s="89"/>
      <c r="L93" s="100"/>
      <c r="M93" s="100"/>
    </row>
    <row r="94" spans="1:13" ht="12.75">
      <c r="A94" s="109" t="s">
        <v>160</v>
      </c>
      <c r="B94" s="105">
        <v>350</v>
      </c>
      <c r="C94" s="106">
        <v>236</v>
      </c>
      <c r="D94" s="105">
        <v>158</v>
      </c>
      <c r="E94" s="107">
        <v>0</v>
      </c>
      <c r="F94" s="107">
        <v>-0.03</v>
      </c>
      <c r="G94" s="91"/>
      <c r="H94" s="91"/>
      <c r="I94" s="89"/>
      <c r="J94" s="89"/>
      <c r="K94" s="89"/>
      <c r="L94" s="100"/>
      <c r="M94" s="100"/>
    </row>
    <row r="95" spans="1:13" ht="12.75">
      <c r="A95" s="109" t="s">
        <v>171</v>
      </c>
      <c r="B95" s="105">
        <v>238</v>
      </c>
      <c r="C95" s="106">
        <v>214</v>
      </c>
      <c r="D95" s="105">
        <v>180</v>
      </c>
      <c r="E95" s="107">
        <v>0.03</v>
      </c>
      <c r="F95" s="107">
        <v>-0.13</v>
      </c>
      <c r="G95" s="91"/>
      <c r="H95" s="91"/>
      <c r="I95" s="89"/>
      <c r="J95" s="89"/>
      <c r="K95" s="89"/>
      <c r="L95" s="100"/>
      <c r="M95" s="100"/>
    </row>
    <row r="96" spans="1:13" ht="12.75">
      <c r="A96" s="120" t="s">
        <v>172</v>
      </c>
      <c r="B96" s="105">
        <v>34</v>
      </c>
      <c r="C96" s="106">
        <v>33</v>
      </c>
      <c r="D96" s="105">
        <v>33</v>
      </c>
      <c r="E96" s="107">
        <v>0.06</v>
      </c>
      <c r="F96" s="110" t="s">
        <v>161</v>
      </c>
      <c r="G96" s="91"/>
      <c r="H96" s="91"/>
      <c r="I96" s="89"/>
      <c r="J96" s="89"/>
      <c r="K96" s="89"/>
      <c r="L96" s="100"/>
      <c r="M96" s="100"/>
    </row>
    <row r="97" spans="1:13" ht="12.75">
      <c r="A97" s="109" t="s">
        <v>168</v>
      </c>
      <c r="B97" s="105">
        <v>125</v>
      </c>
      <c r="C97" s="106">
        <v>92</v>
      </c>
      <c r="D97" s="105">
        <v>50</v>
      </c>
      <c r="E97" s="110">
        <v>0</v>
      </c>
      <c r="F97" s="107">
        <v>0.1</v>
      </c>
      <c r="G97" s="91"/>
      <c r="H97" s="91"/>
      <c r="I97" s="89"/>
      <c r="J97" s="89"/>
      <c r="K97" s="89"/>
      <c r="L97" s="100"/>
      <c r="M97" s="100"/>
    </row>
    <row r="98" spans="1:13" ht="12.75">
      <c r="A98" s="109"/>
      <c r="B98" s="105"/>
      <c r="C98" s="106"/>
      <c r="D98" s="105"/>
      <c r="E98" s="110"/>
      <c r="F98" s="107"/>
      <c r="G98" s="91"/>
      <c r="H98" s="91"/>
      <c r="I98" s="89"/>
      <c r="J98" s="89"/>
      <c r="K98" s="89"/>
      <c r="L98" s="100"/>
      <c r="M98" s="100"/>
    </row>
    <row r="99" spans="1:13" ht="12.75">
      <c r="A99" s="91"/>
      <c r="B99" s="89"/>
      <c r="C99" s="89"/>
      <c r="D99" s="89"/>
      <c r="E99" s="100"/>
      <c r="F99" s="100"/>
      <c r="G99" s="91"/>
      <c r="H99" s="91"/>
      <c r="I99" s="89"/>
      <c r="J99" s="89"/>
      <c r="K99" s="89"/>
      <c r="L99" s="100"/>
      <c r="M99" s="100"/>
    </row>
    <row r="100" spans="1:13" ht="12.75">
      <c r="A100" s="91"/>
      <c r="B100" s="89"/>
      <c r="C100" s="89"/>
      <c r="D100" s="89"/>
      <c r="E100" s="100"/>
      <c r="F100" s="100"/>
      <c r="G100" s="91"/>
      <c r="H100" s="91"/>
      <c r="I100" s="89"/>
      <c r="J100" s="89"/>
      <c r="K100" s="89"/>
      <c r="L100" s="100"/>
      <c r="M100" s="100"/>
    </row>
    <row r="101" spans="1:13" ht="15">
      <c r="A101" s="128"/>
      <c r="B101" s="129"/>
      <c r="C101" s="126"/>
      <c r="D101" s="126"/>
      <c r="E101" s="127"/>
      <c r="F101" s="127"/>
      <c r="G101" s="91"/>
      <c r="H101" s="124"/>
      <c r="I101" s="125"/>
      <c r="J101" s="125"/>
      <c r="K101" s="125"/>
      <c r="L101" s="125"/>
      <c r="M101" s="125"/>
    </row>
    <row r="102" spans="1:13" ht="15">
      <c r="A102" s="128"/>
      <c r="B102" s="130"/>
      <c r="C102" s="125"/>
      <c r="D102" s="125"/>
      <c r="E102" s="125"/>
      <c r="F102" s="125"/>
      <c r="G102" s="124"/>
      <c r="H102" s="124"/>
      <c r="I102" s="125"/>
      <c r="J102" s="125"/>
      <c r="K102" s="125"/>
      <c r="L102" s="125"/>
      <c r="M102" s="125"/>
    </row>
    <row r="103" spans="1:2" ht="14.25">
      <c r="A103" s="131"/>
      <c r="B103" s="131"/>
    </row>
    <row r="104" spans="1:2" ht="14.25">
      <c r="A104" s="131"/>
      <c r="B104" s="131"/>
    </row>
    <row r="105" spans="1:2" ht="14.25">
      <c r="A105" s="131"/>
      <c r="B105" s="131"/>
    </row>
    <row r="106" spans="1:2" ht="14.25">
      <c r="A106" s="131"/>
      <c r="B106" s="131"/>
    </row>
    <row r="107" spans="1:2" ht="14.25">
      <c r="A107" s="131"/>
      <c r="B107" s="131"/>
    </row>
    <row r="108" spans="1:2" ht="14.25">
      <c r="A108" s="131"/>
      <c r="B108" s="131"/>
    </row>
    <row r="109" spans="1:2" ht="14.25">
      <c r="A109" s="131"/>
      <c r="B109" s="131"/>
    </row>
    <row r="110" spans="1:2" ht="14.25">
      <c r="A110" s="131"/>
      <c r="B110" s="131"/>
    </row>
    <row r="111" spans="1:2" ht="14.25">
      <c r="A111" s="131"/>
      <c r="B111" s="131"/>
    </row>
    <row r="112" spans="1:2" ht="14.25">
      <c r="A112" s="131"/>
      <c r="B112" s="131"/>
    </row>
    <row r="113" spans="1:2" ht="14.25">
      <c r="A113" s="131"/>
      <c r="B113" s="131"/>
    </row>
    <row r="114" spans="1:2" ht="14.25">
      <c r="A114" s="131"/>
      <c r="B114" s="131"/>
    </row>
    <row r="115" spans="1:2" ht="14.25">
      <c r="A115" s="131"/>
      <c r="B115" s="131"/>
    </row>
    <row r="116" spans="1:2" ht="14.25">
      <c r="A116" s="131"/>
      <c r="B116" s="131"/>
    </row>
    <row r="117" spans="1:2" ht="14.25">
      <c r="A117" s="131"/>
      <c r="B117" s="131"/>
    </row>
    <row r="118" spans="1:2" ht="14.25">
      <c r="A118" s="131"/>
      <c r="B118" s="131"/>
    </row>
    <row r="119" spans="1:2" ht="14.25">
      <c r="A119" s="131"/>
      <c r="B119" s="131"/>
    </row>
  </sheetData>
  <printOptions/>
  <pageMargins left="0.75" right="0.75" top="1" bottom="1" header="0.5" footer="0.5"/>
  <pageSetup fitToHeight="2" orientation="portrait" scale="67" r:id="rId3"/>
  <headerFooter alignWithMargins="0">
    <oddHeader>&amp;LFile: &amp;F, Sheet: &amp;A&amp;R&amp;D, &amp;T</oddHeader>
    <oddFooter>&amp;L&amp;"Arial,Bold"Prepared by:
Resource Consulting</oddFooter>
  </headerFooter>
  <rowBreaks count="1" manualBreakCount="1">
    <brk id="44" max="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126"/>
  <sheetViews>
    <sheetView showGridLines="0" workbookViewId="0" topLeftCell="A1">
      <selection activeCell="A1" sqref="A1:B1"/>
    </sheetView>
  </sheetViews>
  <sheetFormatPr defaultColWidth="9.140625" defaultRowHeight="12.75"/>
  <cols>
    <col min="1" max="1" width="38.8515625" style="2" customWidth="1"/>
    <col min="2" max="2" width="13.421875" style="3" customWidth="1"/>
    <col min="3" max="3" width="11.8515625" style="3" customWidth="1"/>
    <col min="4" max="4" width="12.57421875" style="3" customWidth="1"/>
    <col min="5" max="6" width="14.140625" style="2" customWidth="1"/>
    <col min="7" max="7" width="30.57421875" style="2" bestFit="1" customWidth="1"/>
    <col min="8" max="8" width="16.57421875" style="3" bestFit="1" customWidth="1"/>
    <col min="9" max="9" width="13.7109375" style="2" bestFit="1" customWidth="1"/>
    <col min="10" max="10" width="10.8515625" style="3" bestFit="1" customWidth="1"/>
    <col min="11" max="11" width="10.8515625" style="3" customWidth="1"/>
    <col min="12" max="12" width="10.421875" style="3" bestFit="1" customWidth="1"/>
    <col min="13" max="13" width="14.28125" style="3" customWidth="1"/>
    <col min="14" max="16" width="10.00390625" style="3" customWidth="1"/>
    <col min="17" max="16384" width="9.140625" style="349" customWidth="1"/>
  </cols>
  <sheetData>
    <row r="1" spans="1:16" ht="51" customHeight="1" thickBot="1">
      <c r="A1" s="804" t="s">
        <v>270</v>
      </c>
      <c r="B1" s="805"/>
      <c r="C1" s="405">
        <f>'Farm and Buffer Assumptions'!C20+'Farm and Buffer Assumptions'!C21</f>
        <v>400</v>
      </c>
      <c r="D1" s="405" t="s">
        <v>191</v>
      </c>
      <c r="F1" s="175" t="s">
        <v>264</v>
      </c>
      <c r="G1" s="161"/>
      <c r="H1" s="6"/>
      <c r="I1" s="6"/>
      <c r="J1" s="2"/>
      <c r="K1" s="175" t="s">
        <v>608</v>
      </c>
      <c r="L1" s="6"/>
      <c r="M1" s="6"/>
      <c r="N1" s="161"/>
      <c r="O1" s="4"/>
      <c r="P1" s="4"/>
    </row>
    <row r="2" spans="7:15" ht="23.25" customHeight="1" thickBot="1">
      <c r="G2" s="3"/>
      <c r="I2" s="3"/>
      <c r="J2" s="2"/>
      <c r="K2" s="2"/>
      <c r="L2" s="2"/>
      <c r="M2" s="2"/>
      <c r="N2" s="2"/>
      <c r="O2" s="2"/>
    </row>
    <row r="3" spans="1:16" s="796" customFormat="1" ht="69.75" customHeight="1" thickBot="1">
      <c r="A3" s="43" t="s">
        <v>41</v>
      </c>
      <c r="B3" s="44" t="s">
        <v>42</v>
      </c>
      <c r="C3" s="44" t="s">
        <v>43</v>
      </c>
      <c r="D3" s="44" t="s">
        <v>44</v>
      </c>
      <c r="E3" s="43" t="s">
        <v>45</v>
      </c>
      <c r="F3" s="162" t="s">
        <v>617</v>
      </c>
      <c r="G3" s="162" t="s">
        <v>46</v>
      </c>
      <c r="H3" s="162" t="s">
        <v>243</v>
      </c>
      <c r="I3" s="162" t="s">
        <v>244</v>
      </c>
      <c r="J3" s="43" t="s">
        <v>263</v>
      </c>
      <c r="K3" s="667" t="s">
        <v>617</v>
      </c>
      <c r="L3" s="630" t="s">
        <v>46</v>
      </c>
      <c r="M3" s="630" t="s">
        <v>243</v>
      </c>
      <c r="N3" s="630" t="s">
        <v>244</v>
      </c>
      <c r="O3" s="45"/>
      <c r="P3" s="45"/>
    </row>
    <row r="4" spans="1:16" s="796" customFormat="1" ht="24.75" customHeight="1" thickBot="1">
      <c r="A4" s="439" t="s">
        <v>48</v>
      </c>
      <c r="B4" s="158"/>
      <c r="C4" s="158"/>
      <c r="D4" s="158"/>
      <c r="E4" s="159"/>
      <c r="F4" s="159"/>
      <c r="G4" s="158"/>
      <c r="H4" s="158"/>
      <c r="I4" s="158"/>
      <c r="J4" s="159"/>
      <c r="K4" s="157"/>
      <c r="L4" s="157"/>
      <c r="M4" s="631"/>
      <c r="N4" s="177"/>
      <c r="O4" s="45"/>
      <c r="P4" s="45"/>
    </row>
    <row r="5" spans="1:16" ht="17.25" customHeight="1">
      <c r="A5" s="440" t="s">
        <v>209</v>
      </c>
      <c r="B5" s="186"/>
      <c r="C5" s="186"/>
      <c r="D5" s="186"/>
      <c r="E5" s="187"/>
      <c r="F5" s="187"/>
      <c r="G5" s="186"/>
      <c r="H5" s="186"/>
      <c r="I5" s="186"/>
      <c r="J5" s="187"/>
      <c r="K5" s="670"/>
      <c r="L5" s="187"/>
      <c r="M5" s="187"/>
      <c r="N5" s="632"/>
      <c r="O5" s="188"/>
      <c r="P5" s="188"/>
    </row>
    <row r="6" spans="1:16" ht="15" customHeight="1">
      <c r="A6" s="441" t="s">
        <v>245</v>
      </c>
      <c r="B6" s="442">
        <v>40000</v>
      </c>
      <c r="C6" s="166">
        <f>(B6+D6)/2</f>
        <v>23894</v>
      </c>
      <c r="D6" s="443">
        <f>0.1947*B6</f>
        <v>7788.000000000001</v>
      </c>
      <c r="E6" s="169">
        <v>15</v>
      </c>
      <c r="F6" s="438">
        <f>((B6-D6)*'Farm and Buffer Assumptions'!$C$29/(1-(1+'Farm and Buffer Assumptions'!$C$29)^-E6))+D6*'Farm and Buffer Assumptions'!$C$29</f>
        <v>3208.702725149786</v>
      </c>
      <c r="G6" s="46">
        <f>C6*'Farm and Buffer Assumptions'!$C$25</f>
        <v>191.15200000000002</v>
      </c>
      <c r="H6" s="46">
        <f>C6*0.003</f>
        <v>71.682</v>
      </c>
      <c r="I6" s="46">
        <f>C6*'Farm and Buffer Assumptions'!$C$22</f>
        <v>307.049847</v>
      </c>
      <c r="J6" s="433">
        <v>0.35</v>
      </c>
      <c r="K6" s="438">
        <f>$J$6*F6</f>
        <v>1123.0459538024252</v>
      </c>
      <c r="L6" s="438">
        <f>$J$6*G6</f>
        <v>66.9032</v>
      </c>
      <c r="M6" s="438">
        <f>$J$6*H6</f>
        <v>25.0887</v>
      </c>
      <c r="N6" s="444">
        <f>$J$6*I6</f>
        <v>107.46744645</v>
      </c>
      <c r="O6" s="2"/>
      <c r="P6" s="2"/>
    </row>
    <row r="7" spans="1:16" ht="14.25" customHeight="1">
      <c r="A7" s="441" t="s">
        <v>210</v>
      </c>
      <c r="B7" s="442">
        <v>40500</v>
      </c>
      <c r="C7" s="166">
        <f>(B7+D7)/2</f>
        <v>24192.675</v>
      </c>
      <c r="D7" s="443">
        <f>0.1947*B7</f>
        <v>7885.35</v>
      </c>
      <c r="E7" s="169">
        <v>15</v>
      </c>
      <c r="F7" s="46">
        <f>((B7-D7)*'Farm and Buffer Assumptions'!$C$29/(1-(1+'Farm and Buffer Assumptions'!$C$29)^-E7))+D7*'Farm and Buffer Assumptions'!$C$29</f>
        <v>3248.811509214159</v>
      </c>
      <c r="G7" s="46">
        <f>'Farm and Buffer Assumptions'!$C$25*C7</f>
        <v>193.5414</v>
      </c>
      <c r="H7" s="46">
        <f>C7*0.003</f>
        <v>72.578025</v>
      </c>
      <c r="I7" s="46">
        <f>C7*'Farm and Buffer Assumptions'!$C$22</f>
        <v>310.88797008750004</v>
      </c>
      <c r="J7" s="433">
        <v>0</v>
      </c>
      <c r="K7" s="46">
        <f>$J$6*F7</f>
        <v>1137.0840282249555</v>
      </c>
      <c r="L7" s="46">
        <f>$J$7*G7</f>
        <v>0</v>
      </c>
      <c r="M7" s="46">
        <f>$J$7*H7</f>
        <v>0</v>
      </c>
      <c r="N7" s="445">
        <f>$J$7*I7</f>
        <v>0</v>
      </c>
      <c r="O7" s="2"/>
      <c r="P7" s="2"/>
    </row>
    <row r="8" spans="1:16" ht="12.75">
      <c r="A8" s="441" t="s">
        <v>211</v>
      </c>
      <c r="B8" s="442">
        <v>105000</v>
      </c>
      <c r="C8" s="166">
        <f>(B8+D8)/2</f>
        <v>62721.75</v>
      </c>
      <c r="D8" s="443">
        <f>0.1947*B8</f>
        <v>20443.5</v>
      </c>
      <c r="E8" s="169">
        <v>15</v>
      </c>
      <c r="F8" s="46">
        <f>((B8-D8)*'Farm and Buffer Assumptions'!$C$29/(1-(1+'Farm and Buffer Assumptions'!$C$29)^-E8))+D8*'Farm and Buffer Assumptions'!$C$29</f>
        <v>8422.84465351819</v>
      </c>
      <c r="G8" s="46">
        <f>'Farm and Buffer Assumptions'!$C$25*C8</f>
        <v>501.774</v>
      </c>
      <c r="H8" s="46">
        <f>C8*0.003</f>
        <v>188.16525000000001</v>
      </c>
      <c r="I8" s="46">
        <f>C8*'Farm and Buffer Assumptions'!$C$22</f>
        <v>806.005848375</v>
      </c>
      <c r="J8" s="433">
        <v>0.35</v>
      </c>
      <c r="K8" s="46">
        <f>$J$6*F8</f>
        <v>2947.995628731366</v>
      </c>
      <c r="L8" s="46">
        <f>$J$8*G8</f>
        <v>175.62089999999998</v>
      </c>
      <c r="M8" s="46">
        <f>$J$8*H8</f>
        <v>65.8578375</v>
      </c>
      <c r="N8" s="445">
        <f>$J$8*I8</f>
        <v>282.10204693125</v>
      </c>
      <c r="O8" s="2"/>
      <c r="P8" s="2"/>
    </row>
    <row r="9" spans="1:16" ht="12.75">
      <c r="A9" s="441" t="s">
        <v>212</v>
      </c>
      <c r="B9" s="442">
        <v>110000</v>
      </c>
      <c r="C9" s="166">
        <f>(B9+D9)/2</f>
        <v>65708.5</v>
      </c>
      <c r="D9" s="443">
        <f>0.1947*B9</f>
        <v>21417</v>
      </c>
      <c r="E9" s="169">
        <v>15</v>
      </c>
      <c r="F9" s="46">
        <f>((B9-D9)*'Farm and Buffer Assumptions'!$C$29/(1-(1+'Farm and Buffer Assumptions'!$C$29)^-E9))+D9*'Farm and Buffer Assumptions'!$C$29</f>
        <v>8823.932494161912</v>
      </c>
      <c r="G9" s="46">
        <f>'Farm and Buffer Assumptions'!$C$25*C9</f>
        <v>525.668</v>
      </c>
      <c r="H9" s="46">
        <f>C9*0.003</f>
        <v>197.12550000000002</v>
      </c>
      <c r="I9" s="46">
        <f>C9*'Farm and Buffer Assumptions'!$C$22</f>
        <v>844.38707925</v>
      </c>
      <c r="J9" s="433">
        <v>0</v>
      </c>
      <c r="K9" s="46">
        <f>$J$6*F9</f>
        <v>3088.376372956669</v>
      </c>
      <c r="L9" s="46">
        <f>$J$9*G9</f>
        <v>0</v>
      </c>
      <c r="M9" s="46">
        <f>$J$9*H9</f>
        <v>0</v>
      </c>
      <c r="N9" s="445">
        <f>$J$9*I9</f>
        <v>0</v>
      </c>
      <c r="O9" s="2"/>
      <c r="P9" s="2"/>
    </row>
    <row r="10" spans="1:16" ht="12.75">
      <c r="A10" s="446" t="s">
        <v>31</v>
      </c>
      <c r="B10" s="168">
        <v>0</v>
      </c>
      <c r="C10" s="166">
        <f>(B10+D10)/2</f>
        <v>0</v>
      </c>
      <c r="D10" s="168">
        <f>0.1947*B10</f>
        <v>0</v>
      </c>
      <c r="E10" s="169">
        <v>15</v>
      </c>
      <c r="F10" s="634">
        <f>((B10-D10)*'Farm and Buffer Assumptions'!$C$29/(1-(1+'Farm and Buffer Assumptions'!$C$29)^-E10))+D10*'Farm and Buffer Assumptions'!$C$29</f>
        <v>0</v>
      </c>
      <c r="G10" s="46">
        <f>'Farm and Buffer Assumptions'!$C$25*C10</f>
        <v>0</v>
      </c>
      <c r="H10" s="46">
        <f>C10*0.003</f>
        <v>0</v>
      </c>
      <c r="I10" s="46">
        <f>C10*'Farm and Buffer Assumptions'!$C$22</f>
        <v>0</v>
      </c>
      <c r="J10" s="433"/>
      <c r="K10" s="634">
        <f>$J$6*F10</f>
        <v>0</v>
      </c>
      <c r="L10" s="46">
        <f>$J$10*G10</f>
        <v>0</v>
      </c>
      <c r="M10" s="46">
        <f>$J$10*H10</f>
        <v>0</v>
      </c>
      <c r="N10" s="445">
        <f>$J$10*I10</f>
        <v>0</v>
      </c>
      <c r="O10" s="2"/>
      <c r="P10" s="2"/>
    </row>
    <row r="11" spans="1:16" ht="12.75">
      <c r="A11" s="447" t="s">
        <v>222</v>
      </c>
      <c r="B11" s="183"/>
      <c r="C11" s="183"/>
      <c r="D11" s="183"/>
      <c r="E11" s="185"/>
      <c r="F11" s="185"/>
      <c r="G11" s="183"/>
      <c r="H11" s="183"/>
      <c r="I11" s="183"/>
      <c r="J11" s="453"/>
      <c r="K11" s="669"/>
      <c r="L11" s="184"/>
      <c r="M11" s="633"/>
      <c r="N11" s="636"/>
      <c r="O11" s="184"/>
      <c r="P11" s="184"/>
    </row>
    <row r="12" spans="1:16" ht="12.75">
      <c r="A12" s="441" t="s">
        <v>223</v>
      </c>
      <c r="B12" s="442">
        <v>29500</v>
      </c>
      <c r="C12" s="166">
        <f aca="true" t="shared" si="0" ref="C12:C19">(B12+D12)/2</f>
        <v>16166</v>
      </c>
      <c r="D12" s="172">
        <f>0.096*B12</f>
        <v>2832</v>
      </c>
      <c r="E12" s="639">
        <v>15</v>
      </c>
      <c r="F12" s="438">
        <f>((B12-D12)*'Farm and Buffer Assumptions'!$C$29/(1-(1+'Farm and Buffer Assumptions'!$C$29)^-E12))+D12*'Farm and Buffer Assumptions'!$C$29</f>
        <v>2511.8292646931113</v>
      </c>
      <c r="G12" s="46">
        <f>'Farm and Buffer Assumptions'!$C$25*C12</f>
        <v>129.328</v>
      </c>
      <c r="H12" s="46">
        <f aca="true" t="shared" si="1" ref="H12:H18">C12*0.003</f>
        <v>48.498</v>
      </c>
      <c r="I12" s="46">
        <f>C12*'Farm and Buffer Assumptions'!$C$22</f>
        <v>207.741183</v>
      </c>
      <c r="J12" s="433">
        <v>0</v>
      </c>
      <c r="K12" s="438">
        <f aca="true" t="shared" si="2" ref="K12:K19">$J$6*F12</f>
        <v>879.1402426425889</v>
      </c>
      <c r="L12" s="438">
        <f>$J$12*G12</f>
        <v>0</v>
      </c>
      <c r="M12" s="438">
        <f>$J$12*H12</f>
        <v>0</v>
      </c>
      <c r="N12" s="444">
        <f>$J$12*I12</f>
        <v>0</v>
      </c>
      <c r="O12" s="2"/>
      <c r="P12" s="2"/>
    </row>
    <row r="13" spans="1:16" ht="12.75">
      <c r="A13" s="441" t="s">
        <v>224</v>
      </c>
      <c r="B13" s="442">
        <v>9600</v>
      </c>
      <c r="C13" s="166">
        <f t="shared" si="0"/>
        <v>5260.8</v>
      </c>
      <c r="D13" s="172">
        <f aca="true" t="shared" si="3" ref="D13:D19">0.096*B13</f>
        <v>921.6</v>
      </c>
      <c r="E13" s="639">
        <v>15</v>
      </c>
      <c r="F13" s="46">
        <f>((B13-D13)*'Farm and Buffer Assumptions'!$C$29/(1-(1+'Farm and Buffer Assumptions'!$C$29)^-E13))+D13*'Farm and Buffer Assumptions'!$C$29</f>
        <v>817.4088454594531</v>
      </c>
      <c r="G13" s="46">
        <f>'Farm and Buffer Assumptions'!$C$25*C13</f>
        <v>42.086400000000005</v>
      </c>
      <c r="H13" s="46">
        <f t="shared" si="1"/>
        <v>15.7824</v>
      </c>
      <c r="I13" s="46">
        <f>C13*'Farm and Buffer Assumptions'!$C$22</f>
        <v>67.6039104</v>
      </c>
      <c r="J13" s="433">
        <v>0</v>
      </c>
      <c r="K13" s="46">
        <f t="shared" si="2"/>
        <v>286.0930959108086</v>
      </c>
      <c r="L13" s="46">
        <f>$J$13*G13</f>
        <v>0</v>
      </c>
      <c r="M13" s="46">
        <f>$J$13*H13</f>
        <v>0</v>
      </c>
      <c r="N13" s="445">
        <f>$J$13*I13</f>
        <v>0</v>
      </c>
      <c r="O13" s="2"/>
      <c r="P13" s="2"/>
    </row>
    <row r="14" spans="1:16" ht="12.75">
      <c r="A14" s="441" t="s">
        <v>225</v>
      </c>
      <c r="B14" s="442">
        <v>6900</v>
      </c>
      <c r="C14" s="166">
        <f t="shared" si="0"/>
        <v>3781.2</v>
      </c>
      <c r="D14" s="172">
        <f t="shared" si="3"/>
        <v>662.4</v>
      </c>
      <c r="E14" s="639">
        <v>15</v>
      </c>
      <c r="F14" s="46">
        <f>((B14-D14)*'Farm and Buffer Assumptions'!$C$29/(1-(1+'Farm and Buffer Assumptions'!$C$29)^-E14))+D14*'Farm and Buffer Assumptions'!$C$29</f>
        <v>587.512607673982</v>
      </c>
      <c r="G14" s="46">
        <f>'Farm and Buffer Assumptions'!$C$25*C14</f>
        <v>30.2496</v>
      </c>
      <c r="H14" s="46">
        <f t="shared" si="1"/>
        <v>11.3436</v>
      </c>
      <c r="I14" s="46">
        <f>C14*'Farm and Buffer Assumptions'!$C$22</f>
        <v>48.5903106</v>
      </c>
      <c r="J14" s="433">
        <v>0</v>
      </c>
      <c r="K14" s="46">
        <f t="shared" si="2"/>
        <v>205.62941268589367</v>
      </c>
      <c r="L14" s="46">
        <f>$J$14*G14</f>
        <v>0</v>
      </c>
      <c r="M14" s="46">
        <f>$J$14*H14</f>
        <v>0</v>
      </c>
      <c r="N14" s="445">
        <f>$J$14*I14</f>
        <v>0</v>
      </c>
      <c r="O14" s="2"/>
      <c r="P14" s="2"/>
    </row>
    <row r="15" spans="1:16" ht="12.75">
      <c r="A15" s="441" t="s">
        <v>226</v>
      </c>
      <c r="B15" s="442">
        <v>11500</v>
      </c>
      <c r="C15" s="166">
        <f t="shared" si="0"/>
        <v>6302</v>
      </c>
      <c r="D15" s="172">
        <f t="shared" si="3"/>
        <v>1104</v>
      </c>
      <c r="E15" s="639">
        <v>15</v>
      </c>
      <c r="F15" s="46">
        <f>((B15-D15)*'Farm and Buffer Assumptions'!$C$29/(1-(1+'Farm and Buffer Assumptions'!$C$29)^-E15))+D15*'Farm and Buffer Assumptions'!$C$29</f>
        <v>979.1876794566366</v>
      </c>
      <c r="G15" s="46">
        <f>'Farm and Buffer Assumptions'!$C$25*C15</f>
        <v>50.416000000000004</v>
      </c>
      <c r="H15" s="46">
        <f t="shared" si="1"/>
        <v>18.906</v>
      </c>
      <c r="I15" s="46">
        <f>C15*'Farm and Buffer Assumptions'!$C$22</f>
        <v>80.983851</v>
      </c>
      <c r="J15" s="433">
        <v>0</v>
      </c>
      <c r="K15" s="46">
        <f t="shared" si="2"/>
        <v>342.7156878098228</v>
      </c>
      <c r="L15" s="46">
        <f>$J$15*G15</f>
        <v>0</v>
      </c>
      <c r="M15" s="46">
        <f>$J$15*H15</f>
        <v>0</v>
      </c>
      <c r="N15" s="445">
        <f>$J$15*I15</f>
        <v>0</v>
      </c>
      <c r="O15" s="2"/>
      <c r="P15" s="2"/>
    </row>
    <row r="16" spans="1:16" ht="12.75">
      <c r="A16" s="441" t="s">
        <v>227</v>
      </c>
      <c r="B16" s="442">
        <v>10500</v>
      </c>
      <c r="C16" s="166">
        <f t="shared" si="0"/>
        <v>5754</v>
      </c>
      <c r="D16" s="172">
        <f t="shared" si="3"/>
        <v>1008</v>
      </c>
      <c r="E16" s="639">
        <v>15</v>
      </c>
      <c r="F16" s="46">
        <f>((B16-D16)*'Farm and Buffer Assumptions'!$C$29/(1-(1+'Farm and Buffer Assumptions'!$C$29)^-E16))+D16*'Farm and Buffer Assumptions'!$C$29</f>
        <v>894.040924721277</v>
      </c>
      <c r="G16" s="46">
        <f>'Farm and Buffer Assumptions'!$C$25*C16</f>
        <v>46.032000000000004</v>
      </c>
      <c r="H16" s="46">
        <f t="shared" si="1"/>
        <v>17.262</v>
      </c>
      <c r="I16" s="46">
        <f>C16*'Farm and Buffer Assumptions'!$C$22</f>
        <v>73.941777</v>
      </c>
      <c r="J16" s="433">
        <v>0</v>
      </c>
      <c r="K16" s="46">
        <f t="shared" si="2"/>
        <v>312.9143236524469</v>
      </c>
      <c r="L16" s="46">
        <f>$J$16*G16</f>
        <v>0</v>
      </c>
      <c r="M16" s="46">
        <f>$J$16*H16</f>
        <v>0</v>
      </c>
      <c r="N16" s="445">
        <f>$J$16*I16</f>
        <v>0</v>
      </c>
      <c r="O16" s="2"/>
      <c r="P16" s="2"/>
    </row>
    <row r="17" spans="1:16" ht="12.75">
      <c r="A17" s="441" t="s">
        <v>228</v>
      </c>
      <c r="B17" s="442">
        <v>5900</v>
      </c>
      <c r="C17" s="166">
        <f t="shared" si="0"/>
        <v>3233.2</v>
      </c>
      <c r="D17" s="172">
        <f t="shared" si="3"/>
        <v>566.4</v>
      </c>
      <c r="E17" s="639">
        <v>15</v>
      </c>
      <c r="F17" s="46">
        <f>((B17-D17)*'Farm and Buffer Assumptions'!$C$29/(1-(1+'Farm and Buffer Assumptions'!$C$29)^-E17))+D17*'Farm and Buffer Assumptions'!$C$29</f>
        <v>502.3658529386223</v>
      </c>
      <c r="G17" s="46">
        <f>'Farm and Buffer Assumptions'!$C$25*C17</f>
        <v>25.8656</v>
      </c>
      <c r="H17" s="46">
        <f t="shared" si="1"/>
        <v>9.6996</v>
      </c>
      <c r="I17" s="46">
        <f>C17*'Farm and Buffer Assumptions'!$C$22</f>
        <v>41.5482366</v>
      </c>
      <c r="J17" s="433">
        <v>0</v>
      </c>
      <c r="K17" s="46">
        <f t="shared" si="2"/>
        <v>175.8280485285178</v>
      </c>
      <c r="L17" s="46">
        <f>$J$17*G17</f>
        <v>0</v>
      </c>
      <c r="M17" s="46">
        <f>$J$17*H17</f>
        <v>0</v>
      </c>
      <c r="N17" s="445">
        <f>$J$17*I17</f>
        <v>0</v>
      </c>
      <c r="O17" s="2"/>
      <c r="P17" s="2"/>
    </row>
    <row r="18" spans="1:16" ht="12.75">
      <c r="A18" s="441" t="s">
        <v>229</v>
      </c>
      <c r="B18" s="442">
        <f>12800+9600</f>
        <v>22400</v>
      </c>
      <c r="C18" s="166">
        <f t="shared" si="0"/>
        <v>12275.2</v>
      </c>
      <c r="D18" s="172">
        <f t="shared" si="3"/>
        <v>2150.4</v>
      </c>
      <c r="E18" s="639">
        <v>15</v>
      </c>
      <c r="F18" s="46">
        <f>((B18-D18)*'Farm and Buffer Assumptions'!$C$29/(1-(1+'Farm and Buffer Assumptions'!$C$29)^-E18))+D18*'Farm and Buffer Assumptions'!$C$29</f>
        <v>1907.2873060720574</v>
      </c>
      <c r="G18" s="46">
        <f>'Farm and Buffer Assumptions'!$C$25*C18</f>
        <v>98.20160000000001</v>
      </c>
      <c r="H18" s="46">
        <f t="shared" si="1"/>
        <v>36.8256</v>
      </c>
      <c r="I18" s="46">
        <f>C18*'Farm and Buffer Assumptions'!$C$22</f>
        <v>157.74245760000002</v>
      </c>
      <c r="J18" s="433">
        <v>0</v>
      </c>
      <c r="K18" s="46">
        <f t="shared" si="2"/>
        <v>667.55055712522</v>
      </c>
      <c r="L18" s="46">
        <f>$J$18*G18</f>
        <v>0</v>
      </c>
      <c r="M18" s="46">
        <f>$J$18*H18</f>
        <v>0</v>
      </c>
      <c r="N18" s="445">
        <f>$J$18*I18</f>
        <v>0</v>
      </c>
      <c r="O18" s="2"/>
      <c r="P18" s="2"/>
    </row>
    <row r="19" spans="1:16" ht="12.75">
      <c r="A19" s="446" t="s">
        <v>31</v>
      </c>
      <c r="B19" s="172"/>
      <c r="C19" s="166">
        <f t="shared" si="0"/>
        <v>0</v>
      </c>
      <c r="D19" s="172">
        <f t="shared" si="3"/>
        <v>0</v>
      </c>
      <c r="E19" s="639">
        <v>15</v>
      </c>
      <c r="F19" s="634">
        <f>((B19-D19)*'Farm and Buffer Assumptions'!$C$29/(1-(1+'Farm and Buffer Assumptions'!$C$29)^-E19))+D19*'Farm and Buffer Assumptions'!$C$29</f>
        <v>0</v>
      </c>
      <c r="G19" s="46">
        <f>'Farm and Buffer Assumptions'!$C$25*C19</f>
        <v>0</v>
      </c>
      <c r="H19" s="46">
        <f>C19*0.003</f>
        <v>0</v>
      </c>
      <c r="I19" s="46">
        <f>C19*'Farm and Buffer Assumptions'!$C$22</f>
        <v>0</v>
      </c>
      <c r="J19" s="433">
        <v>0</v>
      </c>
      <c r="K19" s="634">
        <f t="shared" si="2"/>
        <v>0</v>
      </c>
      <c r="L19" s="46">
        <f>$J$19*G19</f>
        <v>0</v>
      </c>
      <c r="M19" s="46">
        <f>$J$19*H19</f>
        <v>0</v>
      </c>
      <c r="N19" s="445">
        <f>$J$19*I19</f>
        <v>0</v>
      </c>
      <c r="O19" s="2"/>
      <c r="P19" s="2"/>
    </row>
    <row r="20" spans="1:16" ht="12.75">
      <c r="A20" s="447" t="s">
        <v>230</v>
      </c>
      <c r="B20" s="183"/>
      <c r="C20" s="183"/>
      <c r="D20" s="183"/>
      <c r="E20" s="181"/>
      <c r="F20" s="181"/>
      <c r="G20" s="183"/>
      <c r="H20" s="183"/>
      <c r="I20" s="183"/>
      <c r="J20" s="453"/>
      <c r="K20" s="669"/>
      <c r="L20" s="184"/>
      <c r="M20" s="184"/>
      <c r="N20" s="636"/>
      <c r="O20" s="184"/>
      <c r="P20" s="184"/>
    </row>
    <row r="21" spans="1:16" ht="12.75">
      <c r="A21" s="441" t="s">
        <v>231</v>
      </c>
      <c r="B21" s="442">
        <v>12500</v>
      </c>
      <c r="C21" s="166">
        <f>(B21+D21)/2</f>
        <v>6850</v>
      </c>
      <c r="D21" s="172">
        <f>0.096*B21</f>
        <v>1200</v>
      </c>
      <c r="E21" s="169">
        <v>15</v>
      </c>
      <c r="F21" s="438">
        <f>((B21-D21)*'Farm and Buffer Assumptions'!$C$29/(1-(1+'Farm and Buffer Assumptions'!$C$29)^-E21))+D21*'Farm and Buffer Assumptions'!$C$29</f>
        <v>1064.3344341919963</v>
      </c>
      <c r="G21" s="46">
        <f>'Farm and Buffer Assumptions'!$C$25*C21</f>
        <v>54.800000000000004</v>
      </c>
      <c r="H21" s="46">
        <f>C21*0.003</f>
        <v>20.55</v>
      </c>
      <c r="I21" s="46">
        <f>C21*'Farm and Buffer Assumptions'!$C$22</f>
        <v>88.025925</v>
      </c>
      <c r="J21" s="433">
        <v>0</v>
      </c>
      <c r="K21" s="438">
        <f>$J$6*F21</f>
        <v>372.51705196719865</v>
      </c>
      <c r="L21" s="438">
        <f aca="true" t="shared" si="4" ref="L21:N24">$J21*G21</f>
        <v>0</v>
      </c>
      <c r="M21" s="438">
        <f t="shared" si="4"/>
        <v>0</v>
      </c>
      <c r="N21" s="444">
        <f t="shared" si="4"/>
        <v>0</v>
      </c>
      <c r="O21" s="2"/>
      <c r="P21" s="2"/>
    </row>
    <row r="22" spans="1:16" ht="12.75">
      <c r="A22" s="441" t="s">
        <v>253</v>
      </c>
      <c r="B22" s="442">
        <v>15000</v>
      </c>
      <c r="C22" s="166">
        <f>(B22+D22)/2</f>
        <v>8538.75</v>
      </c>
      <c r="D22" s="172">
        <f>0.1385*B22</f>
        <v>2077.5</v>
      </c>
      <c r="E22" s="169">
        <v>12</v>
      </c>
      <c r="F22" s="46">
        <f>((B22-D22)*'Farm and Buffer Assumptions'!$C$29/(1-(1+'Farm and Buffer Assumptions'!$C$29)^-E22))+D22*'Farm and Buffer Assumptions'!$C$29</f>
        <v>1460.0204515355647</v>
      </c>
      <c r="G22" s="46">
        <f>'Farm and Buffer Assumptions'!$C$25*C22</f>
        <v>68.31</v>
      </c>
      <c r="H22" s="46">
        <f>C22*0.003</f>
        <v>25.61625</v>
      </c>
      <c r="I22" s="46">
        <f>C22*'Farm and Buffer Assumptions'!$C$22</f>
        <v>109.72720687500001</v>
      </c>
      <c r="J22" s="433">
        <v>0</v>
      </c>
      <c r="K22" s="46">
        <f>$J$6*F22</f>
        <v>511.0071580374476</v>
      </c>
      <c r="L22" s="46">
        <f t="shared" si="4"/>
        <v>0</v>
      </c>
      <c r="M22" s="46">
        <f t="shared" si="4"/>
        <v>0</v>
      </c>
      <c r="N22" s="445">
        <f t="shared" si="4"/>
        <v>0</v>
      </c>
      <c r="O22" s="2"/>
      <c r="P22" s="2"/>
    </row>
    <row r="23" spans="1:16" ht="12.75">
      <c r="A23" s="441" t="s">
        <v>252</v>
      </c>
      <c r="B23" s="172">
        <v>9000</v>
      </c>
      <c r="C23" s="166">
        <f>(B23+D23)/2</f>
        <v>5123.25</v>
      </c>
      <c r="D23" s="172">
        <f>0.1385*B23</f>
        <v>1246.5</v>
      </c>
      <c r="E23" s="169">
        <v>12</v>
      </c>
      <c r="F23" s="46">
        <f>((B23-D23)*'Farm and Buffer Assumptions'!$C$29/(1-(1+'Farm and Buffer Assumptions'!$C$29)^-E23))+D23*'Farm and Buffer Assumptions'!$C$29</f>
        <v>876.0122709213389</v>
      </c>
      <c r="G23" s="46">
        <f>'Farm and Buffer Assumptions'!$C$25*C23</f>
        <v>40.986000000000004</v>
      </c>
      <c r="H23" s="46">
        <f>C23*0.003</f>
        <v>15.36975</v>
      </c>
      <c r="I23" s="46">
        <f>C23*'Farm and Buffer Assumptions'!$C$22</f>
        <v>65.836324125</v>
      </c>
      <c r="J23" s="433">
        <v>0</v>
      </c>
      <c r="K23" s="46">
        <f>$J$6*F23</f>
        <v>306.6042948224686</v>
      </c>
      <c r="L23" s="46">
        <f t="shared" si="4"/>
        <v>0</v>
      </c>
      <c r="M23" s="46">
        <f t="shared" si="4"/>
        <v>0</v>
      </c>
      <c r="N23" s="445">
        <f t="shared" si="4"/>
        <v>0</v>
      </c>
      <c r="O23" s="2"/>
      <c r="P23" s="2"/>
    </row>
    <row r="24" spans="1:16" ht="12.75">
      <c r="A24" s="446" t="s">
        <v>31</v>
      </c>
      <c r="B24" s="166"/>
      <c r="C24" s="166">
        <f>(B24+D24)/2</f>
        <v>0</v>
      </c>
      <c r="D24" s="166"/>
      <c r="E24" s="169">
        <v>12</v>
      </c>
      <c r="F24" s="634">
        <f>((B24-D24)*'Farm and Buffer Assumptions'!$C$29/(1-(1+'Farm and Buffer Assumptions'!$C$29)^-E24))+D24*'Farm and Buffer Assumptions'!$C$29</f>
        <v>0</v>
      </c>
      <c r="G24" s="46">
        <f>'Farm and Buffer Assumptions'!$C$25*C24</f>
        <v>0</v>
      </c>
      <c r="H24" s="46">
        <f>C24*0.003</f>
        <v>0</v>
      </c>
      <c r="I24" s="46">
        <f>C24*'Farm and Buffer Assumptions'!$C$22</f>
        <v>0</v>
      </c>
      <c r="J24" s="433"/>
      <c r="K24" s="634">
        <f>$J$6*F24</f>
        <v>0</v>
      </c>
      <c r="L24" s="634">
        <f t="shared" si="4"/>
        <v>0</v>
      </c>
      <c r="M24" s="634">
        <f t="shared" si="4"/>
        <v>0</v>
      </c>
      <c r="N24" s="635">
        <f t="shared" si="4"/>
        <v>0</v>
      </c>
      <c r="O24" s="2"/>
      <c r="P24" s="2"/>
    </row>
    <row r="25" spans="1:16" ht="12.75">
      <c r="A25" s="447" t="s">
        <v>213</v>
      </c>
      <c r="B25" s="183"/>
      <c r="C25" s="183"/>
      <c r="D25" s="183"/>
      <c r="E25" s="181"/>
      <c r="F25" s="181"/>
      <c r="G25" s="183"/>
      <c r="H25" s="183"/>
      <c r="I25" s="183"/>
      <c r="J25" s="453"/>
      <c r="K25" s="669"/>
      <c r="L25" s="184"/>
      <c r="M25" s="633"/>
      <c r="N25" s="636"/>
      <c r="O25" s="184"/>
      <c r="P25" s="184"/>
    </row>
    <row r="26" spans="1:16" ht="12.75">
      <c r="A26" s="441" t="s">
        <v>214</v>
      </c>
      <c r="B26" s="442">
        <v>65000</v>
      </c>
      <c r="C26" s="166">
        <f aca="true" t="shared" si="5" ref="C26:C36">(B26+D26)/2</f>
        <v>38629.5</v>
      </c>
      <c r="D26" s="172">
        <f>0.1886*B26</f>
        <v>12259</v>
      </c>
      <c r="E26" s="169">
        <v>10</v>
      </c>
      <c r="F26" s="438">
        <f>((B26-D26)*'Farm and Buffer Assumptions'!$C$29/(1-(1+'Farm and Buffer Assumptions'!$C$29)^-E26))+D26*'Farm and Buffer Assumptions'!$C$29</f>
        <v>6992.847694915722</v>
      </c>
      <c r="G26" s="46">
        <f>'Farm and Buffer Assumptions'!$C$25*C26</f>
        <v>309.036</v>
      </c>
      <c r="H26" s="46">
        <f aca="true" t="shared" si="6" ref="H26:H34">C26*0.003</f>
        <v>115.88850000000001</v>
      </c>
      <c r="I26" s="46">
        <f>C26*'Farm and Buffer Assumptions'!$C$22</f>
        <v>496.40838975</v>
      </c>
      <c r="J26" s="433">
        <v>0.5</v>
      </c>
      <c r="K26" s="438">
        <f aca="true" t="shared" si="7" ref="K26:K36">$J$6*F26</f>
        <v>2447.4966932205025</v>
      </c>
      <c r="L26" s="438">
        <f aca="true" t="shared" si="8" ref="L26:L36">$J26*G26</f>
        <v>154.518</v>
      </c>
      <c r="M26" s="438">
        <f aca="true" t="shared" si="9" ref="M26:M36">$J26*H26</f>
        <v>57.944250000000004</v>
      </c>
      <c r="N26" s="444">
        <f aca="true" t="shared" si="10" ref="N26:N36">$J26*I26</f>
        <v>248.204194875</v>
      </c>
      <c r="O26" s="2"/>
      <c r="P26" s="2"/>
    </row>
    <row r="27" spans="1:16" ht="12.75">
      <c r="A27" s="441" t="s">
        <v>215</v>
      </c>
      <c r="B27" s="442">
        <v>24000</v>
      </c>
      <c r="C27" s="166">
        <f t="shared" si="5"/>
        <v>13981.2</v>
      </c>
      <c r="D27" s="172">
        <f>0.1651*B27</f>
        <v>3962.4</v>
      </c>
      <c r="E27" s="169">
        <v>10</v>
      </c>
      <c r="F27" s="46">
        <f>((B27-D27)*'Farm and Buffer Assumptions'!$C$29/(1-(1+'Farm and Buffer Assumptions'!$C$29)^-E27))+D27*'Farm and Buffer Assumptions'!$C$29</f>
        <v>2628.9506261095403</v>
      </c>
      <c r="G27" s="46">
        <f>'Farm and Buffer Assumptions'!$C$25*C27</f>
        <v>111.84960000000001</v>
      </c>
      <c r="H27" s="46">
        <f t="shared" si="6"/>
        <v>41.9436</v>
      </c>
      <c r="I27" s="46">
        <f>C27*'Farm and Buffer Assumptions'!$C$22</f>
        <v>179.66541060000003</v>
      </c>
      <c r="J27" s="433">
        <v>1</v>
      </c>
      <c r="K27" s="46">
        <f t="shared" si="7"/>
        <v>920.132719138339</v>
      </c>
      <c r="L27" s="46">
        <f t="shared" si="8"/>
        <v>111.84960000000001</v>
      </c>
      <c r="M27" s="46">
        <f t="shared" si="9"/>
        <v>41.9436</v>
      </c>
      <c r="N27" s="445">
        <f t="shared" si="10"/>
        <v>179.66541060000003</v>
      </c>
      <c r="O27" s="2"/>
      <c r="P27" s="2"/>
    </row>
    <row r="28" spans="1:16" ht="12.75">
      <c r="A28" s="441" t="s">
        <v>216</v>
      </c>
      <c r="B28" s="442">
        <v>34000</v>
      </c>
      <c r="C28" s="166">
        <f t="shared" si="5"/>
        <v>19806.7</v>
      </c>
      <c r="D28" s="172">
        <f>0.1651*B28</f>
        <v>5613.4</v>
      </c>
      <c r="E28" s="169">
        <v>10</v>
      </c>
      <c r="F28" s="46">
        <f>((B28-D28)*'Farm and Buffer Assumptions'!$C$29/(1-(1+'Farm and Buffer Assumptions'!$C$29)^-E28))+D28*'Farm and Buffer Assumptions'!$C$29</f>
        <v>3724.3467203218493</v>
      </c>
      <c r="G28" s="46">
        <f>'Farm and Buffer Assumptions'!$C$25*C28</f>
        <v>158.45360000000002</v>
      </c>
      <c r="H28" s="46">
        <f t="shared" si="6"/>
        <v>59.420100000000005</v>
      </c>
      <c r="I28" s="46">
        <f>C28*'Farm and Buffer Assumptions'!$C$22</f>
        <v>254.52599835000004</v>
      </c>
      <c r="J28" s="433">
        <v>0.5</v>
      </c>
      <c r="K28" s="46">
        <f t="shared" si="7"/>
        <v>1303.5213521126473</v>
      </c>
      <c r="L28" s="46">
        <f t="shared" si="8"/>
        <v>79.22680000000001</v>
      </c>
      <c r="M28" s="46">
        <f t="shared" si="9"/>
        <v>29.710050000000003</v>
      </c>
      <c r="N28" s="445">
        <f t="shared" si="10"/>
        <v>127.26299917500002</v>
      </c>
      <c r="O28" s="2"/>
      <c r="P28" s="2"/>
    </row>
    <row r="29" spans="1:16" ht="12.75">
      <c r="A29" s="441" t="s">
        <v>217</v>
      </c>
      <c r="B29" s="442">
        <v>13500</v>
      </c>
      <c r="C29" s="166">
        <f t="shared" si="5"/>
        <v>8023.05</v>
      </c>
      <c r="D29" s="172">
        <f>0.1886*B29</f>
        <v>2546.1</v>
      </c>
      <c r="E29" s="169">
        <v>10</v>
      </c>
      <c r="F29" s="46">
        <f>((B29-D29)*'Farm and Buffer Assumptions'!$C$29/(1-(1+'Farm and Buffer Assumptions'!$C$29)^-E29))+D29*'Farm and Buffer Assumptions'!$C$29</f>
        <v>1452.3606750978809</v>
      </c>
      <c r="G29" s="46">
        <f>'Farm and Buffer Assumptions'!$C$25*C29</f>
        <v>64.1844</v>
      </c>
      <c r="H29" s="46">
        <f t="shared" si="6"/>
        <v>24.06915</v>
      </c>
      <c r="I29" s="46">
        <f>C29*'Farm and Buffer Assumptions'!$C$22</f>
        <v>103.10020402500001</v>
      </c>
      <c r="J29" s="433">
        <v>0.5</v>
      </c>
      <c r="K29" s="46">
        <f t="shared" si="7"/>
        <v>508.32623628425824</v>
      </c>
      <c r="L29" s="46">
        <f t="shared" si="8"/>
        <v>32.0922</v>
      </c>
      <c r="M29" s="46">
        <f t="shared" si="9"/>
        <v>12.034575</v>
      </c>
      <c r="N29" s="445">
        <f t="shared" si="10"/>
        <v>51.550102012500005</v>
      </c>
      <c r="O29" s="2"/>
      <c r="P29" s="2"/>
    </row>
    <row r="30" spans="1:16" ht="12.75">
      <c r="A30" s="441" t="s">
        <v>218</v>
      </c>
      <c r="B30" s="442">
        <v>11300</v>
      </c>
      <c r="C30" s="166">
        <f t="shared" si="5"/>
        <v>6648.92</v>
      </c>
      <c r="D30" s="172">
        <f>0.1768*B30</f>
        <v>1997.8400000000001</v>
      </c>
      <c r="E30" s="169">
        <v>10</v>
      </c>
      <c r="F30" s="46">
        <f>((B30-D30)*'Farm and Buffer Assumptions'!$C$29/(1-(1+'Farm and Buffer Assumptions'!$C$29)^-E30))+D30*'Farm and Buffer Assumptions'!$C$29</f>
        <v>1226.7856907100215</v>
      </c>
      <c r="G30" s="46">
        <f>'Farm and Buffer Assumptions'!$C$25*C30</f>
        <v>53.19136</v>
      </c>
      <c r="H30" s="46">
        <f t="shared" si="6"/>
        <v>19.94676</v>
      </c>
      <c r="I30" s="46">
        <f>C30*'Farm and Buffer Assumptions'!$C$22</f>
        <v>85.44194646000001</v>
      </c>
      <c r="J30" s="433">
        <v>1</v>
      </c>
      <c r="K30" s="46">
        <f t="shared" si="7"/>
        <v>429.3749917485075</v>
      </c>
      <c r="L30" s="46">
        <f t="shared" si="8"/>
        <v>53.19136</v>
      </c>
      <c r="M30" s="46">
        <f t="shared" si="9"/>
        <v>19.94676</v>
      </c>
      <c r="N30" s="445">
        <f t="shared" si="10"/>
        <v>85.44194646000001</v>
      </c>
      <c r="O30" s="2"/>
      <c r="P30" s="2"/>
    </row>
    <row r="31" spans="1:16" ht="12.75">
      <c r="A31" s="441" t="s">
        <v>700</v>
      </c>
      <c r="B31" s="442">
        <v>6000</v>
      </c>
      <c r="C31" s="166">
        <f t="shared" si="5"/>
        <v>3530.4</v>
      </c>
      <c r="D31" s="172">
        <f>0.1768*B31</f>
        <v>1060.8000000000002</v>
      </c>
      <c r="E31" s="169">
        <v>10</v>
      </c>
      <c r="F31" s="46">
        <f>((B31-D31)*'Farm and Buffer Assumptions'!$C$29/(1-(1+'Farm and Buffer Assumptions'!$C$29)^-E31))+D31*'Farm and Buffer Assumptions'!$C$29</f>
        <v>651.3906322354095</v>
      </c>
      <c r="G31" s="46">
        <f>'Farm and Buffer Assumptions'!$C$25*C31</f>
        <v>28.2432</v>
      </c>
      <c r="H31" s="46">
        <f t="shared" si="6"/>
        <v>10.5912</v>
      </c>
      <c r="I31" s="46">
        <f>C31*'Farm and Buffer Assumptions'!$C$22</f>
        <v>45.36740520000001</v>
      </c>
      <c r="J31" s="433">
        <v>1</v>
      </c>
      <c r="K31" s="46">
        <f t="shared" si="7"/>
        <v>227.98672128239332</v>
      </c>
      <c r="L31" s="46">
        <f t="shared" si="8"/>
        <v>28.2432</v>
      </c>
      <c r="M31" s="46">
        <f t="shared" si="9"/>
        <v>10.5912</v>
      </c>
      <c r="N31" s="445">
        <f t="shared" si="10"/>
        <v>45.36740520000001</v>
      </c>
      <c r="O31" s="2"/>
      <c r="P31" s="2"/>
    </row>
    <row r="32" spans="1:16" ht="12.75">
      <c r="A32" s="441" t="s">
        <v>219</v>
      </c>
      <c r="B32" s="442">
        <v>21500</v>
      </c>
      <c r="C32" s="166">
        <f t="shared" si="5"/>
        <v>12524.825</v>
      </c>
      <c r="D32" s="172">
        <f>0.1651*B32</f>
        <v>3549.65</v>
      </c>
      <c r="E32" s="169">
        <v>10</v>
      </c>
      <c r="F32" s="46">
        <f>((B32-D32)*'Farm and Buffer Assumptions'!$C$29/(1-(1+'Farm and Buffer Assumptions'!$C$29)^-E32))+D32*'Farm and Buffer Assumptions'!$C$29</f>
        <v>2355.1016025564636</v>
      </c>
      <c r="G32" s="46">
        <f>'Farm and Buffer Assumptions'!$C$25*C32</f>
        <v>100.19860000000001</v>
      </c>
      <c r="H32" s="46">
        <f t="shared" si="6"/>
        <v>37.574475</v>
      </c>
      <c r="I32" s="46">
        <f>C32*'Farm and Buffer Assumptions'!$C$22</f>
        <v>160.95026366250002</v>
      </c>
      <c r="J32" s="433">
        <v>1</v>
      </c>
      <c r="K32" s="46">
        <f t="shared" si="7"/>
        <v>824.2855608947622</v>
      </c>
      <c r="L32" s="46">
        <f t="shared" si="8"/>
        <v>100.19860000000001</v>
      </c>
      <c r="M32" s="46">
        <f t="shared" si="9"/>
        <v>37.574475</v>
      </c>
      <c r="N32" s="445">
        <f t="shared" si="10"/>
        <v>160.95026366250002</v>
      </c>
      <c r="O32" s="2"/>
      <c r="P32" s="2"/>
    </row>
    <row r="33" spans="1:16" ht="12.75">
      <c r="A33" s="441" t="s">
        <v>220</v>
      </c>
      <c r="B33" s="442">
        <v>105000</v>
      </c>
      <c r="C33" s="166">
        <f t="shared" si="5"/>
        <v>62401.5</v>
      </c>
      <c r="D33" s="172">
        <f>0.1886*B33</f>
        <v>19803</v>
      </c>
      <c r="E33" s="169">
        <v>10</v>
      </c>
      <c r="F33" s="46">
        <f>((B33-D33)*'Farm and Buffer Assumptions'!$C$29/(1-(1+'Farm and Buffer Assumptions'!$C$29)^-E33))+D33*'Farm and Buffer Assumptions'!$C$29</f>
        <v>11296.13858409463</v>
      </c>
      <c r="G33" s="46">
        <f>'Farm and Buffer Assumptions'!$C$25*C33</f>
        <v>499.212</v>
      </c>
      <c r="H33" s="46">
        <f t="shared" si="6"/>
        <v>187.2045</v>
      </c>
      <c r="I33" s="46">
        <f>C33*'Farm and Buffer Assumptions'!$C$22</f>
        <v>801.8904757500001</v>
      </c>
      <c r="J33" s="433">
        <v>1</v>
      </c>
      <c r="K33" s="46">
        <f t="shared" si="7"/>
        <v>3953.6485044331203</v>
      </c>
      <c r="L33" s="46">
        <f t="shared" si="8"/>
        <v>499.212</v>
      </c>
      <c r="M33" s="46">
        <f t="shared" si="9"/>
        <v>187.2045</v>
      </c>
      <c r="N33" s="445">
        <f t="shared" si="10"/>
        <v>801.8904757500001</v>
      </c>
      <c r="O33" s="2"/>
      <c r="P33" s="2"/>
    </row>
    <row r="34" spans="1:16" ht="12.75">
      <c r="A34" s="441" t="s">
        <v>221</v>
      </c>
      <c r="B34" s="442">
        <v>13300</v>
      </c>
      <c r="C34" s="166">
        <f t="shared" si="5"/>
        <v>7825.72</v>
      </c>
      <c r="D34" s="172">
        <f>0.1768*B34</f>
        <v>2351.44</v>
      </c>
      <c r="E34" s="169">
        <v>10</v>
      </c>
      <c r="F34" s="46">
        <f>((B34-D34)*'Farm and Buffer Assumptions'!$C$29/(1-(1+'Farm and Buffer Assumptions'!$C$29)^-E34))+D34*'Farm and Buffer Assumptions'!$C$29</f>
        <v>1443.9159014551578</v>
      </c>
      <c r="G34" s="46">
        <f>'Farm and Buffer Assumptions'!$C$25*C34</f>
        <v>62.605760000000004</v>
      </c>
      <c r="H34" s="46">
        <f t="shared" si="6"/>
        <v>23.47716</v>
      </c>
      <c r="I34" s="46">
        <f>C34*'Farm and Buffer Assumptions'!$C$22</f>
        <v>100.56441486000001</v>
      </c>
      <c r="J34" s="433">
        <v>0.5</v>
      </c>
      <c r="K34" s="46">
        <f t="shared" si="7"/>
        <v>505.3705655093052</v>
      </c>
      <c r="L34" s="46">
        <f t="shared" si="8"/>
        <v>31.302880000000002</v>
      </c>
      <c r="M34" s="46">
        <f t="shared" si="9"/>
        <v>11.73858</v>
      </c>
      <c r="N34" s="445">
        <f t="shared" si="10"/>
        <v>50.28220743000001</v>
      </c>
      <c r="O34" s="2"/>
      <c r="P34" s="2"/>
    </row>
    <row r="35" spans="1:16" ht="12.75">
      <c r="A35" s="446" t="s">
        <v>31</v>
      </c>
      <c r="B35" s="168">
        <v>0</v>
      </c>
      <c r="C35" s="166">
        <f t="shared" si="5"/>
        <v>0</v>
      </c>
      <c r="D35" s="172">
        <f>0.2*B35</f>
        <v>0</v>
      </c>
      <c r="E35" s="169">
        <v>10</v>
      </c>
      <c r="F35" s="46">
        <f>((B35-D35)*'Farm and Buffer Assumptions'!$C$29/(1-(1+'Farm and Buffer Assumptions'!$C$29)^-E35))+D35*'Farm and Buffer Assumptions'!$C$29</f>
        <v>0</v>
      </c>
      <c r="G35" s="46">
        <f>'Farm and Buffer Assumptions'!$C$25*C35</f>
        <v>0</v>
      </c>
      <c r="H35" s="46">
        <f>C35*0.003</f>
        <v>0</v>
      </c>
      <c r="I35" s="46">
        <f>C35*'Farm and Buffer Assumptions'!$C$22</f>
        <v>0</v>
      </c>
      <c r="J35" s="433">
        <v>0</v>
      </c>
      <c r="K35" s="46">
        <f t="shared" si="7"/>
        <v>0</v>
      </c>
      <c r="L35" s="46">
        <f t="shared" si="8"/>
        <v>0</v>
      </c>
      <c r="M35" s="46">
        <f t="shared" si="9"/>
        <v>0</v>
      </c>
      <c r="N35" s="445">
        <f t="shared" si="10"/>
        <v>0</v>
      </c>
      <c r="O35" s="2"/>
      <c r="P35" s="2"/>
    </row>
    <row r="36" spans="1:16" ht="12.75">
      <c r="A36" s="446" t="s">
        <v>31</v>
      </c>
      <c r="B36" s="168">
        <v>0</v>
      </c>
      <c r="C36" s="166">
        <f t="shared" si="5"/>
        <v>0</v>
      </c>
      <c r="D36" s="172">
        <f>0.2*B36</f>
        <v>0</v>
      </c>
      <c r="E36" s="169">
        <v>10</v>
      </c>
      <c r="F36" s="634">
        <f>((B36-D36)*'Farm and Buffer Assumptions'!$C$29/(1-(1+'Farm and Buffer Assumptions'!$C$29)^-E36))+D36*'Farm and Buffer Assumptions'!$C$29</f>
        <v>0</v>
      </c>
      <c r="G36" s="46">
        <f>'Farm and Buffer Assumptions'!$C$25*C36</f>
        <v>0</v>
      </c>
      <c r="H36" s="46">
        <f>C36*0.003</f>
        <v>0</v>
      </c>
      <c r="I36" s="46">
        <f>C36*'Farm and Buffer Assumptions'!$C$22</f>
        <v>0</v>
      </c>
      <c r="J36" s="433">
        <v>0</v>
      </c>
      <c r="K36" s="634">
        <f t="shared" si="7"/>
        <v>0</v>
      </c>
      <c r="L36" s="46">
        <f t="shared" si="8"/>
        <v>0</v>
      </c>
      <c r="M36" s="46">
        <f t="shared" si="9"/>
        <v>0</v>
      </c>
      <c r="N36" s="445">
        <f t="shared" si="10"/>
        <v>0</v>
      </c>
      <c r="O36" s="2"/>
      <c r="P36" s="2"/>
    </row>
    <row r="37" spans="1:16" s="797" customFormat="1" ht="12.75">
      <c r="A37" s="447" t="s">
        <v>232</v>
      </c>
      <c r="B37" s="180"/>
      <c r="C37" s="180"/>
      <c r="D37" s="180"/>
      <c r="E37" s="181"/>
      <c r="F37" s="181"/>
      <c r="G37" s="180"/>
      <c r="H37" s="180"/>
      <c r="I37" s="180"/>
      <c r="J37" s="452"/>
      <c r="K37" s="668"/>
      <c r="L37" s="182"/>
      <c r="M37" s="638"/>
      <c r="N37" s="641"/>
      <c r="O37" s="182"/>
      <c r="P37" s="182"/>
    </row>
    <row r="38" spans="1:16" s="797" customFormat="1" ht="12.75">
      <c r="A38" s="441" t="s">
        <v>233</v>
      </c>
      <c r="B38" s="442">
        <v>5200</v>
      </c>
      <c r="C38" s="166">
        <f aca="true" t="shared" si="11" ref="C38:C45">(B38+D38)/2</f>
        <v>3120</v>
      </c>
      <c r="D38" s="168">
        <f>0.2*B38</f>
        <v>1040</v>
      </c>
      <c r="E38" s="169">
        <v>15</v>
      </c>
      <c r="F38" s="438">
        <f>((B38-D38)*'Farm and Buffer Assumptions'!$C$29/(1-(1+'Farm and Buffer Assumptions'!$C$29)^-E38))+D38*'Farm and Buffer Assumptions'!$C$29</f>
        <v>415.75497754324823</v>
      </c>
      <c r="G38" s="46">
        <f>'Farm and Buffer Assumptions'!$C$25*C38</f>
        <v>24.96</v>
      </c>
      <c r="H38" s="46">
        <f aca="true" t="shared" si="12" ref="H38:H43">C38*0.003</f>
        <v>9.36</v>
      </c>
      <c r="I38" s="46">
        <f>C38*'Farm and Buffer Assumptions'!$C$22</f>
        <v>40.093560000000004</v>
      </c>
      <c r="J38" s="437">
        <v>0.5</v>
      </c>
      <c r="K38" s="438">
        <f aca="true" t="shared" si="13" ref="K38:K45">$J$6*F38</f>
        <v>145.51424214013687</v>
      </c>
      <c r="L38" s="438">
        <f aca="true" t="shared" si="14" ref="L38:N45">$J38*G38</f>
        <v>12.48</v>
      </c>
      <c r="M38" s="438">
        <f t="shared" si="14"/>
        <v>4.68</v>
      </c>
      <c r="N38" s="444">
        <f t="shared" si="14"/>
        <v>20.046780000000002</v>
      </c>
      <c r="O38" s="49"/>
      <c r="P38" s="49"/>
    </row>
    <row r="39" spans="1:16" s="797" customFormat="1" ht="12.75">
      <c r="A39" s="441" t="s">
        <v>234</v>
      </c>
      <c r="B39" s="442">
        <v>9000</v>
      </c>
      <c r="C39" s="166">
        <f t="shared" si="11"/>
        <v>5400</v>
      </c>
      <c r="D39" s="168">
        <f aca="true" t="shared" si="15" ref="D39:D45">0.2*B39</f>
        <v>1800</v>
      </c>
      <c r="E39" s="169">
        <v>10</v>
      </c>
      <c r="F39" s="46">
        <f>((B39-D39)*'Farm and Buffer Assumptions'!$C$29/(1-(1+'Farm and Buffer Assumptions'!$C$29)^-E39))+D39*'Farm and Buffer Assumptions'!$C$29</f>
        <v>959.6947991769819</v>
      </c>
      <c r="G39" s="46">
        <f>'Farm and Buffer Assumptions'!$C$25*C39</f>
        <v>43.2</v>
      </c>
      <c r="H39" s="46">
        <f t="shared" si="12"/>
        <v>16.2</v>
      </c>
      <c r="I39" s="46">
        <f>C39*'Farm and Buffer Assumptions'!$C$22</f>
        <v>69.3927</v>
      </c>
      <c r="J39" s="437">
        <v>0.5</v>
      </c>
      <c r="K39" s="46">
        <f t="shared" si="13"/>
        <v>335.8931797119436</v>
      </c>
      <c r="L39" s="46">
        <f t="shared" si="14"/>
        <v>21.6</v>
      </c>
      <c r="M39" s="46">
        <f t="shared" si="14"/>
        <v>8.1</v>
      </c>
      <c r="N39" s="445">
        <f t="shared" si="14"/>
        <v>34.69635</v>
      </c>
      <c r="O39" s="49"/>
      <c r="P39" s="49"/>
    </row>
    <row r="40" spans="1:16" s="797" customFormat="1" ht="12.75">
      <c r="A40" s="441" t="s">
        <v>235</v>
      </c>
      <c r="B40" s="442">
        <v>5500</v>
      </c>
      <c r="C40" s="166">
        <f t="shared" si="11"/>
        <v>3300</v>
      </c>
      <c r="D40" s="168">
        <f t="shared" si="15"/>
        <v>1100</v>
      </c>
      <c r="E40" s="169">
        <v>10</v>
      </c>
      <c r="F40" s="46">
        <f>((B40-D40)*'Farm and Buffer Assumptions'!$C$29/(1-(1+'Farm and Buffer Assumptions'!$C$29)^-E40))+D40*'Farm and Buffer Assumptions'!$C$29</f>
        <v>586.4801550526</v>
      </c>
      <c r="G40" s="46">
        <f>'Farm and Buffer Assumptions'!$C$25*C40</f>
        <v>26.400000000000002</v>
      </c>
      <c r="H40" s="46">
        <f t="shared" si="12"/>
        <v>9.9</v>
      </c>
      <c r="I40" s="46">
        <f>C40*'Farm and Buffer Assumptions'!$C$22</f>
        <v>42.406650000000006</v>
      </c>
      <c r="J40" s="437">
        <v>0.5</v>
      </c>
      <c r="K40" s="46">
        <f t="shared" si="13"/>
        <v>205.26805426841</v>
      </c>
      <c r="L40" s="46">
        <f t="shared" si="14"/>
        <v>13.200000000000001</v>
      </c>
      <c r="M40" s="46">
        <f t="shared" si="14"/>
        <v>4.95</v>
      </c>
      <c r="N40" s="445">
        <f t="shared" si="14"/>
        <v>21.203325000000003</v>
      </c>
      <c r="O40" s="49"/>
      <c r="P40" s="49"/>
    </row>
    <row r="41" spans="1:16" s="797" customFormat="1" ht="12.75">
      <c r="A41" s="441" t="s">
        <v>236</v>
      </c>
      <c r="B41" s="442">
        <v>9900</v>
      </c>
      <c r="C41" s="166">
        <f t="shared" si="11"/>
        <v>5940</v>
      </c>
      <c r="D41" s="168">
        <f t="shared" si="15"/>
        <v>1980</v>
      </c>
      <c r="E41" s="169">
        <v>15</v>
      </c>
      <c r="F41" s="46">
        <f>((B41-D41)*'Farm and Buffer Assumptions'!$C$29/(1-(1+'Farm and Buffer Assumptions'!$C$29)^-E41))+D41*'Farm and Buffer Assumptions'!$C$29</f>
        <v>791.5335149381073</v>
      </c>
      <c r="G41" s="46">
        <f>'Farm and Buffer Assumptions'!$C$25*C41</f>
        <v>47.52</v>
      </c>
      <c r="H41" s="46">
        <f t="shared" si="12"/>
        <v>17.82</v>
      </c>
      <c r="I41" s="46">
        <f>C41*'Farm and Buffer Assumptions'!$C$22</f>
        <v>76.33197</v>
      </c>
      <c r="J41" s="437">
        <v>0</v>
      </c>
      <c r="K41" s="46">
        <f t="shared" si="13"/>
        <v>277.03673022833755</v>
      </c>
      <c r="L41" s="46">
        <f t="shared" si="14"/>
        <v>0</v>
      </c>
      <c r="M41" s="46">
        <f t="shared" si="14"/>
        <v>0</v>
      </c>
      <c r="N41" s="445">
        <f t="shared" si="14"/>
        <v>0</v>
      </c>
      <c r="O41" s="49"/>
      <c r="P41" s="49"/>
    </row>
    <row r="42" spans="1:16" s="797" customFormat="1" ht="12.75">
      <c r="A42" s="441" t="s">
        <v>237</v>
      </c>
      <c r="B42" s="442">
        <v>8700</v>
      </c>
      <c r="C42" s="166">
        <f t="shared" si="11"/>
        <v>5220</v>
      </c>
      <c r="D42" s="168">
        <f t="shared" si="15"/>
        <v>1740</v>
      </c>
      <c r="E42" s="169">
        <v>15</v>
      </c>
      <c r="F42" s="46">
        <f>((B42-D42)*'Farm and Buffer Assumptions'!$C$29/(1-(1+'Farm and Buffer Assumptions'!$C$29)^-E42))+D42*'Farm and Buffer Assumptions'!$C$29</f>
        <v>695.590058581973</v>
      </c>
      <c r="G42" s="46">
        <f>'Farm and Buffer Assumptions'!$C$25*C42</f>
        <v>41.76</v>
      </c>
      <c r="H42" s="46">
        <f t="shared" si="12"/>
        <v>15.66</v>
      </c>
      <c r="I42" s="46">
        <f>C42*'Farm and Buffer Assumptions'!$C$22</f>
        <v>67.07961</v>
      </c>
      <c r="J42" s="437">
        <v>0</v>
      </c>
      <c r="K42" s="46">
        <f t="shared" si="13"/>
        <v>243.45652050369054</v>
      </c>
      <c r="L42" s="46">
        <f t="shared" si="14"/>
        <v>0</v>
      </c>
      <c r="M42" s="46">
        <f t="shared" si="14"/>
        <v>0</v>
      </c>
      <c r="N42" s="445">
        <f t="shared" si="14"/>
        <v>0</v>
      </c>
      <c r="O42" s="49"/>
      <c r="P42" s="49"/>
    </row>
    <row r="43" spans="1:16" s="797" customFormat="1" ht="12.75">
      <c r="A43" s="441" t="s">
        <v>238</v>
      </c>
      <c r="B43" s="442">
        <f>5*2200</f>
        <v>11000</v>
      </c>
      <c r="C43" s="166">
        <f t="shared" si="11"/>
        <v>6600</v>
      </c>
      <c r="D43" s="168">
        <f t="shared" si="15"/>
        <v>2200</v>
      </c>
      <c r="E43" s="640">
        <v>20</v>
      </c>
      <c r="F43" s="46">
        <f>((B43-D43)*'Farm and Buffer Assumptions'!$C$29/(1-(1+'Farm and Buffer Assumptions'!$C$29)^-E43))+D43*'Farm and Buffer Assumptions'!$C$29</f>
        <v>735.5194028919337</v>
      </c>
      <c r="G43" s="46">
        <f>'Farm and Buffer Assumptions'!$C$25*C43</f>
        <v>52.800000000000004</v>
      </c>
      <c r="H43" s="46">
        <f t="shared" si="12"/>
        <v>19.8</v>
      </c>
      <c r="I43" s="46">
        <f>C43*'Farm and Buffer Assumptions'!$C$22</f>
        <v>84.81330000000001</v>
      </c>
      <c r="J43" s="437">
        <v>0</v>
      </c>
      <c r="K43" s="46">
        <f t="shared" si="13"/>
        <v>257.4317910121768</v>
      </c>
      <c r="L43" s="46">
        <f t="shared" si="14"/>
        <v>0</v>
      </c>
      <c r="M43" s="46">
        <f t="shared" si="14"/>
        <v>0</v>
      </c>
      <c r="N43" s="445">
        <f t="shared" si="14"/>
        <v>0</v>
      </c>
      <c r="O43" s="49"/>
      <c r="P43" s="49"/>
    </row>
    <row r="44" spans="1:16" ht="12.75">
      <c r="A44" s="446" t="s">
        <v>31</v>
      </c>
      <c r="B44" s="172">
        <v>0</v>
      </c>
      <c r="C44" s="166">
        <f t="shared" si="11"/>
        <v>0</v>
      </c>
      <c r="D44" s="168">
        <f t="shared" si="15"/>
        <v>0</v>
      </c>
      <c r="E44" s="640">
        <v>15</v>
      </c>
      <c r="F44" s="46">
        <f>((B44-D44)*'Farm and Buffer Assumptions'!$C$29/(1-(1+'Farm and Buffer Assumptions'!$C$29)^-E44))+D44*'Farm and Buffer Assumptions'!$C$29</f>
        <v>0</v>
      </c>
      <c r="G44" s="46">
        <f>'Farm and Buffer Assumptions'!$C$25*C44</f>
        <v>0</v>
      </c>
      <c r="H44" s="46">
        <f>C44*0.003</f>
        <v>0</v>
      </c>
      <c r="I44" s="46">
        <f>C44*'Farm and Buffer Assumptions'!$C$22</f>
        <v>0</v>
      </c>
      <c r="J44" s="437">
        <v>0</v>
      </c>
      <c r="K44" s="46">
        <f t="shared" si="13"/>
        <v>0</v>
      </c>
      <c r="L44" s="46">
        <f t="shared" si="14"/>
        <v>0</v>
      </c>
      <c r="M44" s="46">
        <f t="shared" si="14"/>
        <v>0</v>
      </c>
      <c r="N44" s="445">
        <f t="shared" si="14"/>
        <v>0</v>
      </c>
      <c r="O44" s="2"/>
      <c r="P44" s="2"/>
    </row>
    <row r="45" spans="1:16" ht="12.75">
      <c r="A45" s="446" t="s">
        <v>31</v>
      </c>
      <c r="B45" s="172">
        <v>0</v>
      </c>
      <c r="C45" s="166">
        <f t="shared" si="11"/>
        <v>0</v>
      </c>
      <c r="D45" s="168">
        <f t="shared" si="15"/>
        <v>0</v>
      </c>
      <c r="E45" s="640">
        <v>15</v>
      </c>
      <c r="F45" s="634">
        <f>((B45-D45)*'Farm and Buffer Assumptions'!$C$29/(1-(1+'Farm and Buffer Assumptions'!$C$29)^-E45))+D45*'Farm and Buffer Assumptions'!$C$29</f>
        <v>0</v>
      </c>
      <c r="G45" s="46">
        <f>'Farm and Buffer Assumptions'!$C$25*C45</f>
        <v>0</v>
      </c>
      <c r="H45" s="46">
        <f>C45*0.003</f>
        <v>0</v>
      </c>
      <c r="I45" s="46">
        <f>C45*'Farm and Buffer Assumptions'!$C$22</f>
        <v>0</v>
      </c>
      <c r="J45" s="437">
        <v>0</v>
      </c>
      <c r="K45" s="634">
        <f t="shared" si="13"/>
        <v>0</v>
      </c>
      <c r="L45" s="634">
        <f t="shared" si="14"/>
        <v>0</v>
      </c>
      <c r="M45" s="634">
        <f t="shared" si="14"/>
        <v>0</v>
      </c>
      <c r="N45" s="635">
        <f t="shared" si="14"/>
        <v>0</v>
      </c>
      <c r="O45" s="2"/>
      <c r="P45" s="2"/>
    </row>
    <row r="46" spans="1:16" ht="32.25" thickBot="1">
      <c r="A46" s="448" t="s">
        <v>269</v>
      </c>
      <c r="B46" s="449">
        <f aca="true" t="shared" si="16" ref="B46:I46">SUM(B6:B10)+SUM(B12:B19)+SUM(B21:B24)+SUM(B26:B36)+SUM(B38:B45)</f>
        <v>771200</v>
      </c>
      <c r="C46" s="449">
        <f t="shared" si="16"/>
        <v>452753.13999999996</v>
      </c>
      <c r="D46" s="449">
        <f t="shared" si="16"/>
        <v>134306.28000000003</v>
      </c>
      <c r="E46" s="449"/>
      <c r="F46" s="449">
        <f t="shared" si="16"/>
        <v>71260.7020553896</v>
      </c>
      <c r="G46" s="449">
        <f t="shared" si="16"/>
        <v>3622.02512</v>
      </c>
      <c r="H46" s="449">
        <f t="shared" si="16"/>
        <v>1358.25942</v>
      </c>
      <c r="I46" s="449">
        <f t="shared" si="16"/>
        <v>5818.104225570001</v>
      </c>
      <c r="J46" s="450"/>
      <c r="K46" s="449">
        <f>SUM(K6:K10)+SUM(K12:K19)+SUM(K21:K24)+SUM(K26:K36)+SUM(K38:K45)</f>
        <v>24941.24571938636</v>
      </c>
      <c r="L46" s="449">
        <f>SUM(L6:L10)+SUM(L12:L19)+SUM(L21:L24)+SUM(L26:L36)+SUM(L38:L45)</f>
        <v>1379.63874</v>
      </c>
      <c r="M46" s="449">
        <f>SUM(M6:M10)+SUM(M12:M19)+SUM(M21:M24)+SUM(M26:M36)+SUM(M38:M45)</f>
        <v>517.3645275</v>
      </c>
      <c r="N46" s="451">
        <f>SUM(N6:N10)+SUM(N12:N19)+SUM(N21:N24)+SUM(N26:N36)+SUM(N38:N45)</f>
        <v>2216.1309535462506</v>
      </c>
      <c r="O46" s="189"/>
      <c r="P46" s="189"/>
    </row>
    <row r="47" spans="1:16" ht="20.25" customHeight="1" thickBot="1">
      <c r="A47" s="53"/>
      <c r="B47" s="10"/>
      <c r="C47" s="10"/>
      <c r="D47" s="173"/>
      <c r="E47" s="174"/>
      <c r="F47" s="174"/>
      <c r="G47" s="4"/>
      <c r="H47" s="4"/>
      <c r="I47" s="4"/>
      <c r="J47" s="48"/>
      <c r="K47" s="53"/>
      <c r="L47" s="2"/>
      <c r="M47" s="2"/>
      <c r="O47" s="2"/>
      <c r="P47" s="2"/>
    </row>
    <row r="48" spans="1:16" s="797" customFormat="1" ht="62.25" customHeight="1" thickBot="1">
      <c r="A48" s="439" t="s">
        <v>259</v>
      </c>
      <c r="B48" s="44" t="s">
        <v>42</v>
      </c>
      <c r="C48" s="44" t="s">
        <v>43</v>
      </c>
      <c r="D48" s="44" t="s">
        <v>44</v>
      </c>
      <c r="E48" s="43" t="s">
        <v>262</v>
      </c>
      <c r="F48" s="162" t="s">
        <v>617</v>
      </c>
      <c r="G48" s="162" t="s">
        <v>46</v>
      </c>
      <c r="H48" s="162" t="s">
        <v>261</v>
      </c>
      <c r="I48" s="162" t="s">
        <v>571</v>
      </c>
      <c r="J48" s="43" t="s">
        <v>263</v>
      </c>
      <c r="K48" s="667" t="s">
        <v>617</v>
      </c>
      <c r="L48" s="630" t="s">
        <v>46</v>
      </c>
      <c r="M48" s="630" t="s">
        <v>243</v>
      </c>
      <c r="N48" s="630" t="s">
        <v>244</v>
      </c>
      <c r="O48" s="49"/>
      <c r="P48" s="49"/>
    </row>
    <row r="49" spans="1:16" ht="12.75">
      <c r="A49" s="463" t="s">
        <v>248</v>
      </c>
      <c r="B49" s="454">
        <v>19000</v>
      </c>
      <c r="C49" s="166">
        <f aca="true" t="shared" si="17" ref="C49:C54">(B49+D49)/2</f>
        <v>11400</v>
      </c>
      <c r="D49" s="168">
        <f>0.2*B49</f>
        <v>3800</v>
      </c>
      <c r="E49" s="454">
        <f>100000/B113</f>
        <v>6.666666666666667</v>
      </c>
      <c r="F49" s="46">
        <f>((B49-D49)*'Farm and Buffer Assumptions'!$C$29/(1-(1+'Farm and Buffer Assumptions'!$C$29)^-E49))+D49*'Farm and Buffer Assumptions'!$C$29</f>
        <v>2794.5347447137033</v>
      </c>
      <c r="G49" s="454">
        <v>250</v>
      </c>
      <c r="H49" s="166">
        <f aca="true" t="shared" si="18" ref="H49:H54">C49*0.003</f>
        <v>34.2</v>
      </c>
      <c r="I49" s="454">
        <v>50</v>
      </c>
      <c r="J49" s="433">
        <v>0.35</v>
      </c>
      <c r="K49" s="436">
        <f aca="true" t="shared" si="19" ref="K49:K54">$J$6*F49</f>
        <v>978.087160649796</v>
      </c>
      <c r="L49" s="436">
        <f aca="true" t="shared" si="20" ref="L49:N54">$J49*G49</f>
        <v>87.5</v>
      </c>
      <c r="M49" s="436">
        <f t="shared" si="20"/>
        <v>11.97</v>
      </c>
      <c r="N49" s="455">
        <f t="shared" si="20"/>
        <v>17.5</v>
      </c>
      <c r="O49" s="2"/>
      <c r="P49" s="2"/>
    </row>
    <row r="50" spans="1:16" ht="12.75">
      <c r="A50" s="464" t="s">
        <v>249</v>
      </c>
      <c r="B50" s="454">
        <v>70000</v>
      </c>
      <c r="C50" s="166">
        <f t="shared" si="17"/>
        <v>42000</v>
      </c>
      <c r="D50" s="168">
        <f>0.2*B50</f>
        <v>14000</v>
      </c>
      <c r="E50" s="454">
        <f>150000/B114</f>
        <v>30</v>
      </c>
      <c r="F50" s="46">
        <f>((B50-D50)*'Farm and Buffer Assumptions'!$C$29/(1-(1+'Farm and Buffer Assumptions'!$C$29)^-E50))+D50*'Farm and Buffer Assumptions'!$C$29</f>
        <v>3798.485551485033</v>
      </c>
      <c r="G50" s="454">
        <v>250</v>
      </c>
      <c r="H50" s="166">
        <f t="shared" si="18"/>
        <v>126</v>
      </c>
      <c r="I50" s="454">
        <v>300</v>
      </c>
      <c r="J50" s="433">
        <v>0.35</v>
      </c>
      <c r="K50" s="46">
        <f t="shared" si="19"/>
        <v>1329.4699430197613</v>
      </c>
      <c r="L50" s="46">
        <f t="shared" si="20"/>
        <v>87.5</v>
      </c>
      <c r="M50" s="46">
        <f t="shared" si="20"/>
        <v>44.099999999999994</v>
      </c>
      <c r="N50" s="445">
        <f t="shared" si="20"/>
        <v>105</v>
      </c>
      <c r="O50" s="2"/>
      <c r="P50" s="2"/>
    </row>
    <row r="51" spans="1:16" ht="12.75">
      <c r="A51" s="464" t="s">
        <v>250</v>
      </c>
      <c r="B51" s="454">
        <v>8700</v>
      </c>
      <c r="C51" s="166">
        <f t="shared" si="17"/>
        <v>5220</v>
      </c>
      <c r="D51" s="168">
        <f>0.2*B51</f>
        <v>1740</v>
      </c>
      <c r="E51" s="454">
        <f>15000/B115</f>
        <v>6.818181818181818</v>
      </c>
      <c r="F51" s="46">
        <f>((B51-D51)*'Farm and Buffer Assumptions'!$C$29/(1-(1+'Farm and Buffer Assumptions'!$C$29)^-E51))+D51*'Farm and Buffer Assumptions'!$C$29</f>
        <v>1256.0791705306267</v>
      </c>
      <c r="G51" s="454">
        <v>0</v>
      </c>
      <c r="H51" s="166">
        <f t="shared" si="18"/>
        <v>15.66</v>
      </c>
      <c r="I51" s="454">
        <v>0</v>
      </c>
      <c r="J51" s="433">
        <v>0.35</v>
      </c>
      <c r="K51" s="46">
        <f t="shared" si="19"/>
        <v>439.6277096857193</v>
      </c>
      <c r="L51" s="46">
        <f t="shared" si="20"/>
        <v>0</v>
      </c>
      <c r="M51" s="46">
        <f t="shared" si="20"/>
        <v>5.481</v>
      </c>
      <c r="N51" s="445">
        <f t="shared" si="20"/>
        <v>0</v>
      </c>
      <c r="O51" s="2"/>
      <c r="P51" s="2"/>
    </row>
    <row r="52" spans="1:16" ht="12.75">
      <c r="A52" s="464" t="s">
        <v>251</v>
      </c>
      <c r="B52" s="442">
        <v>60000</v>
      </c>
      <c r="C52" s="166">
        <f t="shared" si="17"/>
        <v>36000</v>
      </c>
      <c r="D52" s="168">
        <f>0.2*B52</f>
        <v>12000</v>
      </c>
      <c r="E52" s="442">
        <f>150000/B116</f>
        <v>30</v>
      </c>
      <c r="F52" s="46">
        <f>((B52-D52)*'Farm and Buffer Assumptions'!$C$29/(1-(1+'Farm and Buffer Assumptions'!$C$29)^-E52))+D52*'Farm and Buffer Assumptions'!$C$29</f>
        <v>3255.8447584157425</v>
      </c>
      <c r="G52" s="442">
        <v>0</v>
      </c>
      <c r="H52" s="166">
        <f t="shared" si="18"/>
        <v>108</v>
      </c>
      <c r="I52" s="442">
        <v>0</v>
      </c>
      <c r="J52" s="433">
        <v>0.35</v>
      </c>
      <c r="K52" s="46">
        <f t="shared" si="19"/>
        <v>1139.5456654455097</v>
      </c>
      <c r="L52" s="46">
        <f t="shared" si="20"/>
        <v>0</v>
      </c>
      <c r="M52" s="46">
        <f t="shared" si="20"/>
        <v>37.8</v>
      </c>
      <c r="N52" s="445">
        <f t="shared" si="20"/>
        <v>0</v>
      </c>
      <c r="O52" s="2"/>
      <c r="P52" s="2"/>
    </row>
    <row r="53" spans="1:16" ht="12.75">
      <c r="A53" s="446" t="s">
        <v>31</v>
      </c>
      <c r="B53" s="461"/>
      <c r="C53" s="166">
        <f t="shared" si="17"/>
        <v>0</v>
      </c>
      <c r="D53" s="168"/>
      <c r="E53" s="169">
        <v>10</v>
      </c>
      <c r="F53" s="46">
        <f>((B53-D53)*'Farm and Buffer Assumptions'!$C$29/(1-(1+'Farm and Buffer Assumptions'!$C$29)^-E53))+D53*'Farm and Buffer Assumptions'!$C$29</f>
        <v>0</v>
      </c>
      <c r="G53" s="442">
        <v>0</v>
      </c>
      <c r="H53" s="166">
        <f t="shared" si="18"/>
        <v>0</v>
      </c>
      <c r="I53" s="442">
        <v>0</v>
      </c>
      <c r="J53" s="642">
        <v>0</v>
      </c>
      <c r="K53" s="46">
        <f t="shared" si="19"/>
        <v>0</v>
      </c>
      <c r="L53" s="46">
        <f t="shared" si="20"/>
        <v>0</v>
      </c>
      <c r="M53" s="46">
        <f t="shared" si="20"/>
        <v>0</v>
      </c>
      <c r="N53" s="445">
        <f t="shared" si="20"/>
        <v>0</v>
      </c>
      <c r="O53" s="2"/>
      <c r="P53" s="2"/>
    </row>
    <row r="54" spans="1:16" ht="13.5" thickBot="1">
      <c r="A54" s="456" t="s">
        <v>31</v>
      </c>
      <c r="B54" s="462"/>
      <c r="C54" s="457">
        <f t="shared" si="17"/>
        <v>0</v>
      </c>
      <c r="D54" s="458"/>
      <c r="E54" s="459">
        <v>10</v>
      </c>
      <c r="F54" s="460">
        <f>((B54-D54)*'Farm and Buffer Assumptions'!$C$29/(1-(1+'Farm and Buffer Assumptions'!$C$29)^-E54))+D54*'Farm and Buffer Assumptions'!$C$29</f>
        <v>0</v>
      </c>
      <c r="G54" s="644">
        <v>0</v>
      </c>
      <c r="H54" s="457">
        <f t="shared" si="18"/>
        <v>0</v>
      </c>
      <c r="I54" s="645">
        <v>0</v>
      </c>
      <c r="J54" s="643">
        <v>0</v>
      </c>
      <c r="K54" s="460">
        <f t="shared" si="19"/>
        <v>0</v>
      </c>
      <c r="L54" s="460">
        <f t="shared" si="20"/>
        <v>0</v>
      </c>
      <c r="M54" s="460">
        <f t="shared" si="20"/>
        <v>0</v>
      </c>
      <c r="N54" s="646">
        <f t="shared" si="20"/>
        <v>0</v>
      </c>
      <c r="O54" s="2"/>
      <c r="P54" s="2"/>
    </row>
    <row r="55" spans="1:16" ht="22.5" customHeight="1" thickBot="1">
      <c r="A55" s="349"/>
      <c r="B55" s="10"/>
      <c r="C55" s="10"/>
      <c r="D55" s="173"/>
      <c r="E55" s="174"/>
      <c r="F55" s="174"/>
      <c r="G55" s="4"/>
      <c r="H55" s="4"/>
      <c r="I55" s="4"/>
      <c r="J55" s="465"/>
      <c r="K55" s="465"/>
      <c r="L55" s="161"/>
      <c r="M55" s="161"/>
      <c r="O55" s="2"/>
      <c r="P55" s="2"/>
    </row>
    <row r="56" spans="1:16" ht="72" customHeight="1" thickBot="1">
      <c r="A56" s="439" t="s">
        <v>260</v>
      </c>
      <c r="B56" s="44" t="s">
        <v>42</v>
      </c>
      <c r="C56" s="44" t="s">
        <v>43</v>
      </c>
      <c r="D56" s="44" t="s">
        <v>44</v>
      </c>
      <c r="E56" s="43" t="s">
        <v>262</v>
      </c>
      <c r="F56" s="162" t="s">
        <v>617</v>
      </c>
      <c r="G56" s="162" t="s">
        <v>46</v>
      </c>
      <c r="H56" s="162" t="s">
        <v>261</v>
      </c>
      <c r="I56" s="162" t="s">
        <v>571</v>
      </c>
      <c r="J56" s="43" t="s">
        <v>263</v>
      </c>
      <c r="K56" s="667" t="s">
        <v>617</v>
      </c>
      <c r="L56" s="629" t="s">
        <v>46</v>
      </c>
      <c r="M56" s="629" t="s">
        <v>243</v>
      </c>
      <c r="N56" s="629" t="s">
        <v>244</v>
      </c>
      <c r="O56" s="2"/>
      <c r="P56" s="2"/>
    </row>
    <row r="57" spans="1:16" ht="12.75">
      <c r="A57" s="466" t="s">
        <v>49</v>
      </c>
      <c r="B57" s="168"/>
      <c r="C57" s="171"/>
      <c r="D57" s="168"/>
      <c r="E57" s="169"/>
      <c r="F57" s="46"/>
      <c r="G57" s="46"/>
      <c r="H57" s="46"/>
      <c r="I57" s="46"/>
      <c r="J57" s="433"/>
      <c r="K57" s="436"/>
      <c r="L57" s="434"/>
      <c r="M57" s="434"/>
      <c r="N57" s="637"/>
      <c r="O57" s="2"/>
      <c r="P57" s="2"/>
    </row>
    <row r="58" spans="1:16" ht="12.75">
      <c r="A58" s="446" t="s">
        <v>50</v>
      </c>
      <c r="B58" s="168">
        <v>29000</v>
      </c>
      <c r="C58" s="171">
        <f>(B58+D58)/2</f>
        <v>15950</v>
      </c>
      <c r="D58" s="168">
        <f>0.1*B58</f>
        <v>2900</v>
      </c>
      <c r="E58" s="167">
        <v>20</v>
      </c>
      <c r="F58" s="46">
        <f>((B58-D58)*'Farm and Buffer Assumptions'!$C$29/(1-(1+'Farm and Buffer Assumptions'!$C$29)^-E58))+D58*'Farm and Buffer Assumptions'!$C$29</f>
        <v>2036.4836835772126</v>
      </c>
      <c r="G58" s="46">
        <f>'Farm and Buffer Assumptions'!$C$25*C58</f>
        <v>127.60000000000001</v>
      </c>
      <c r="H58" s="46"/>
      <c r="I58" s="46">
        <f>C58*'Farm and Buffer Assumptions'!$C$22</f>
        <v>204.96547500000003</v>
      </c>
      <c r="J58" s="433">
        <v>0.5</v>
      </c>
      <c r="K58" s="46">
        <f>$J$6*F58</f>
        <v>712.7692892520244</v>
      </c>
      <c r="L58" s="46">
        <f aca="true" t="shared" si="21" ref="L58:N61">$J58*G58</f>
        <v>63.800000000000004</v>
      </c>
      <c r="M58" s="46">
        <f t="shared" si="21"/>
        <v>0</v>
      </c>
      <c r="N58" s="647">
        <f t="shared" si="21"/>
        <v>102.48273750000001</v>
      </c>
      <c r="O58" s="2"/>
      <c r="P58" s="2"/>
    </row>
    <row r="59" spans="1:16" ht="12.75">
      <c r="A59" s="446" t="s">
        <v>51</v>
      </c>
      <c r="B59" s="168">
        <v>36000</v>
      </c>
      <c r="C59" s="171">
        <f>(B59+D59)/2</f>
        <v>19800</v>
      </c>
      <c r="D59" s="168">
        <f>0.1*B59</f>
        <v>3600</v>
      </c>
      <c r="E59" s="167">
        <v>20</v>
      </c>
      <c r="F59" s="46">
        <f>((B59-D59)*'Farm and Buffer Assumptions'!$C$29/(1-(1+'Farm and Buffer Assumptions'!$C$29)^-E59))+D59*'Farm and Buffer Assumptions'!$C$29</f>
        <v>2528.048710647574</v>
      </c>
      <c r="G59" s="46">
        <f>'Farm and Buffer Assumptions'!$C$25*C59</f>
        <v>158.4</v>
      </c>
      <c r="H59" s="46"/>
      <c r="I59" s="46">
        <f>C59*'Farm and Buffer Assumptions'!$C$22</f>
        <v>254.43990000000002</v>
      </c>
      <c r="J59" s="433">
        <v>0.5</v>
      </c>
      <c r="K59" s="46">
        <f>$J$6*F59</f>
        <v>884.8170487266508</v>
      </c>
      <c r="L59" s="46">
        <f t="shared" si="21"/>
        <v>79.2</v>
      </c>
      <c r="M59" s="46">
        <f t="shared" si="21"/>
        <v>0</v>
      </c>
      <c r="N59" s="647">
        <f t="shared" si="21"/>
        <v>127.21995000000001</v>
      </c>
      <c r="O59" s="2"/>
      <c r="P59" s="2"/>
    </row>
    <row r="60" spans="1:16" s="56" customFormat="1" ht="14.25" customHeight="1">
      <c r="A60" s="446" t="s">
        <v>31</v>
      </c>
      <c r="B60" s="431"/>
      <c r="C60" s="431"/>
      <c r="D60" s="431"/>
      <c r="E60" s="431">
        <v>1</v>
      </c>
      <c r="F60" s="46">
        <f>((B60-D60)*'Farm and Buffer Assumptions'!$C$29/(1-(1+'Farm and Buffer Assumptions'!$C$29)^-E60))+D60*'Farm and Buffer Assumptions'!$C$29</f>
        <v>0</v>
      </c>
      <c r="G60" s="46">
        <f>'Farm and Buffer Assumptions'!$C$25*C60</f>
        <v>0</v>
      </c>
      <c r="H60" s="46"/>
      <c r="I60" s="46">
        <f>C60*'Farm and Buffer Assumptions'!$C$22</f>
        <v>0</v>
      </c>
      <c r="J60" s="673">
        <v>0</v>
      </c>
      <c r="K60" s="46">
        <f>$J$6*F60</f>
        <v>0</v>
      </c>
      <c r="L60" s="46">
        <f t="shared" si="21"/>
        <v>0</v>
      </c>
      <c r="M60" s="46">
        <f t="shared" si="21"/>
        <v>0</v>
      </c>
      <c r="N60" s="647">
        <f t="shared" si="21"/>
        <v>0</v>
      </c>
      <c r="O60" s="628"/>
      <c r="P60"/>
    </row>
    <row r="61" spans="1:16" ht="12.75">
      <c r="A61" s="446" t="s">
        <v>31</v>
      </c>
      <c r="B61" s="166"/>
      <c r="C61" s="166"/>
      <c r="D61" s="166"/>
      <c r="E61" s="170">
        <v>1</v>
      </c>
      <c r="F61" s="46">
        <f>((B61-D61)*'Farm and Buffer Assumptions'!$C$29/(1-(1+'Farm and Buffer Assumptions'!$C$29)^-E61))+D61*'Farm and Buffer Assumptions'!$C$29</f>
        <v>0</v>
      </c>
      <c r="G61" s="46">
        <f>'Farm and Buffer Assumptions'!$C$25*C61</f>
        <v>0</v>
      </c>
      <c r="H61" s="46"/>
      <c r="I61" s="46">
        <f>C61*'Farm and Buffer Assumptions'!$C$22</f>
        <v>0</v>
      </c>
      <c r="J61" s="642">
        <v>0</v>
      </c>
      <c r="K61" s="46">
        <f>$J$6*F61</f>
        <v>0</v>
      </c>
      <c r="L61" s="46">
        <f t="shared" si="21"/>
        <v>0</v>
      </c>
      <c r="M61" s="46">
        <f t="shared" si="21"/>
        <v>0</v>
      </c>
      <c r="N61" s="647">
        <f t="shared" si="21"/>
        <v>0</v>
      </c>
      <c r="O61" s="2"/>
      <c r="P61" s="2"/>
    </row>
    <row r="62" spans="1:16" ht="13.5" thickBot="1">
      <c r="A62" s="446" t="s">
        <v>618</v>
      </c>
      <c r="B62" s="671">
        <v>250000</v>
      </c>
      <c r="C62" s="672">
        <f>'Farm and Buffer Assumptions'!C19*Prices!C22</f>
        <v>550000</v>
      </c>
      <c r="D62" s="166"/>
      <c r="E62" s="170"/>
      <c r="F62" s="46"/>
      <c r="G62" s="46"/>
      <c r="H62" s="46"/>
      <c r="I62" s="46">
        <f>'Farm and Buffer Assumptions'!C19*'Farm and Buffer Assumptions'!C22*Prices!C23</f>
        <v>1413.555</v>
      </c>
      <c r="J62" s="433">
        <v>0.25</v>
      </c>
      <c r="K62" s="51">
        <f>C62*J62*'Farm and Buffer Assumptions'!C23</f>
        <v>6875</v>
      </c>
      <c r="L62" s="47"/>
      <c r="M62" s="435"/>
      <c r="N62" s="637">
        <f>I62*J62</f>
        <v>353.38875</v>
      </c>
      <c r="O62" s="2"/>
      <c r="P62" s="2"/>
    </row>
    <row r="63" spans="1:16" s="798" customFormat="1" ht="33.75" customHeight="1" thickBot="1">
      <c r="A63" s="723" t="s">
        <v>52</v>
      </c>
      <c r="B63" s="724">
        <f>SUM(B6:B10)+SUM(B12:B19)+SUM(B21:B24)+SUM(B26:B36)+SUM(B38:B45)+SUM(B49:B54)+SUM(B58:B62)</f>
        <v>1243900</v>
      </c>
      <c r="C63" s="724">
        <f>SUM(C6:C10)+SUM(C12:C19)+SUM(C21:C24)+SUM(C26:C36)+SUM(C38:C45)+SUM(C49:C54)+SUM(C58:C62)</f>
        <v>1133123.14</v>
      </c>
      <c r="D63" s="724">
        <f>SUM(D6:D10)+SUM(D12:D19)+SUM(D21:D24)+SUM(D26:D36)+SUM(D38:D45)+SUM(D49:D54)+SUM(D58:D62)</f>
        <v>172346.28000000003</v>
      </c>
      <c r="E63" s="724"/>
      <c r="F63" s="724">
        <f>SUM(F6:F10)+SUM(F12:F19)+SUM(F21:F24)+SUM(F26:F36)+SUM(F38:F45)+SUM(F49:F54)+SUM(F58:F62)</f>
        <v>86930.1786747595</v>
      </c>
      <c r="G63" s="724">
        <f>SUM(G6:G10)+SUM(G12:G19)+SUM(G21:G24)+SUM(G26:G36)+SUM(G38:G45)+SUM(G49:G54)+SUM(G58:G62)</f>
        <v>4408.02512</v>
      </c>
      <c r="H63" s="724">
        <f>SUM(H6:H10)+SUM(H12:H19)+SUM(H21:H24)+SUM(H26:H36)+SUM(H38:H45)+SUM(H49:H54)+SUM(H58:H62)</f>
        <v>1642.11942</v>
      </c>
      <c r="I63" s="724">
        <f>SUM(I6:I10)+SUM(I12:I19)+SUM(I21:I24)+SUM(I26:I36)+SUM(I38:I45)+SUM(I49:I54)+SUM(I58:I62)</f>
        <v>8041.064600570002</v>
      </c>
      <c r="J63" s="725"/>
      <c r="K63" s="724">
        <f>SUM(K6:K10)+SUM(K12:K19)+SUM(K21:K24)+SUM(K26:K36)+SUM(K38:K45)+SUM(K49:K54)+SUM(K58:K62)</f>
        <v>37300.56253616582</v>
      </c>
      <c r="L63" s="724">
        <f>SUM(L6:L10)+SUM(L12:L19)+SUM(L21:L24)+SUM(L26:L36)+SUM(L38:L45)+SUM(L49:L54)+SUM(L58:L62)</f>
        <v>1697.63874</v>
      </c>
      <c r="M63" s="724">
        <f>SUM(M6:M10)+SUM(M12:M19)+SUM(M21:M24)+SUM(M26:M36)+SUM(M38:M45)+SUM(M49:M54)+SUM(M58:M62)</f>
        <v>616.7155275</v>
      </c>
      <c r="N63" s="726">
        <f>SUM(N6:N10)+SUM(N12:N19)+SUM(N21:N24)+SUM(N26:N36)+SUM(N38:N45)+SUM(N49:N54)+SUM(N58:N62)</f>
        <v>2921.722391046251</v>
      </c>
      <c r="O63" s="727" t="s">
        <v>364</v>
      </c>
      <c r="P63" s="728">
        <f>SUM(L63:N63)</f>
        <v>5236.076658546251</v>
      </c>
    </row>
    <row r="64" ht="12.75"/>
    <row r="65" ht="12.75"/>
    <row r="66" spans="1:16" s="799" customFormat="1" ht="27.75" customHeight="1">
      <c r="A66" s="202" t="s">
        <v>271</v>
      </c>
      <c r="B66" s="51"/>
      <c r="C66" s="51"/>
      <c r="D66" s="51"/>
      <c r="E66" s="52"/>
      <c r="F66" s="52"/>
      <c r="G66" s="52"/>
      <c r="H66" s="51"/>
      <c r="I66" s="52"/>
      <c r="J66" s="51"/>
      <c r="K66" s="51"/>
      <c r="L66" s="51"/>
      <c r="M66" s="51"/>
      <c r="N66" s="51"/>
      <c r="O66" s="51"/>
      <c r="P66" s="51"/>
    </row>
    <row r="67" ht="13.5" thickBot="1"/>
    <row r="68" spans="1:16" ht="54" customHeight="1" thickBot="1">
      <c r="A68" s="199" t="s">
        <v>53</v>
      </c>
      <c r="B68" s="44" t="s">
        <v>256</v>
      </c>
      <c r="C68" s="44" t="s">
        <v>54</v>
      </c>
      <c r="D68" s="43" t="s">
        <v>55</v>
      </c>
      <c r="E68" s="43" t="s">
        <v>56</v>
      </c>
      <c r="F68" s="43"/>
      <c r="G68" s="8" t="s">
        <v>265</v>
      </c>
      <c r="H68" s="502" t="s">
        <v>266</v>
      </c>
      <c r="I68" s="3"/>
      <c r="N68" s="2"/>
      <c r="O68" s="2"/>
      <c r="P68" s="2"/>
    </row>
    <row r="69" spans="1:16" ht="13.5" thickBot="1">
      <c r="A69" s="191" t="s">
        <v>209</v>
      </c>
      <c r="B69" s="192"/>
      <c r="C69" s="192"/>
      <c r="D69" s="198"/>
      <c r="E69" s="196"/>
      <c r="F69" s="196"/>
      <c r="G69" s="194"/>
      <c r="H69" s="198"/>
      <c r="I69" s="3"/>
      <c r="N69" s="2"/>
      <c r="O69" s="2"/>
      <c r="P69" s="2"/>
    </row>
    <row r="70" spans="1:16" ht="12.75">
      <c r="A70" s="422" t="s">
        <v>245</v>
      </c>
      <c r="B70" s="423">
        <v>320</v>
      </c>
      <c r="C70" s="471">
        <v>378</v>
      </c>
      <c r="D70" s="474">
        <f>(0.06*55*0.73*Prices!$C$20*B70)*1.15</f>
        <v>1507.0704</v>
      </c>
      <c r="E70" s="478">
        <f>SUM(C70:D70)</f>
        <v>1885.0704</v>
      </c>
      <c r="F70" s="478"/>
      <c r="G70" s="424">
        <v>0.35</v>
      </c>
      <c r="H70" s="499">
        <f>G70*E70</f>
        <v>659.77464</v>
      </c>
      <c r="I70" s="3"/>
      <c r="N70" s="2"/>
      <c r="O70" s="2"/>
      <c r="P70" s="2"/>
    </row>
    <row r="71" spans="1:16" ht="12.75">
      <c r="A71" s="425" t="s">
        <v>210</v>
      </c>
      <c r="B71" s="417">
        <v>300</v>
      </c>
      <c r="C71" s="472">
        <v>189</v>
      </c>
      <c r="D71" s="475">
        <f>(0.06*55*0.73*Prices!$C$20*B71)*1.15</f>
        <v>1412.8784999999998</v>
      </c>
      <c r="E71" s="479">
        <f>SUM(C71:D71)</f>
        <v>1601.8784999999998</v>
      </c>
      <c r="F71" s="479"/>
      <c r="G71" s="426">
        <v>0.35</v>
      </c>
      <c r="H71" s="500">
        <f>G71*E71</f>
        <v>560.6574749999999</v>
      </c>
      <c r="I71" s="3"/>
      <c r="N71" s="2"/>
      <c r="O71" s="2"/>
      <c r="P71" s="2"/>
    </row>
    <row r="72" spans="1:16" ht="12.75">
      <c r="A72" s="425" t="s">
        <v>211</v>
      </c>
      <c r="B72" s="417">
        <v>400</v>
      </c>
      <c r="C72" s="472">
        <v>1530</v>
      </c>
      <c r="D72" s="475">
        <f>(0.06*55*0.73*Prices!$C$20*B72)*1.15</f>
        <v>1883.8379999999997</v>
      </c>
      <c r="E72" s="479">
        <f>SUM(C72:D72)</f>
        <v>3413.8379999999997</v>
      </c>
      <c r="F72" s="479"/>
      <c r="G72" s="426">
        <v>0.35</v>
      </c>
      <c r="H72" s="500">
        <f>G72*E72</f>
        <v>1194.8432999999998</v>
      </c>
      <c r="I72" s="3"/>
      <c r="N72" s="2"/>
      <c r="O72" s="2"/>
      <c r="P72" s="2"/>
    </row>
    <row r="73" spans="1:16" ht="12.75">
      <c r="A73" s="425" t="s">
        <v>212</v>
      </c>
      <c r="B73" s="417">
        <v>0</v>
      </c>
      <c r="C73" s="472">
        <v>0</v>
      </c>
      <c r="D73" s="475">
        <f>(0.06*55*0.73*Prices!$C$20*B73)*1.15</f>
        <v>0</v>
      </c>
      <c r="E73" s="479">
        <f>SUM(C73:D73)</f>
        <v>0</v>
      </c>
      <c r="F73" s="479"/>
      <c r="G73" s="426">
        <v>0</v>
      </c>
      <c r="H73" s="500">
        <f>G73*E73</f>
        <v>0</v>
      </c>
      <c r="I73" s="3"/>
      <c r="N73" s="2"/>
      <c r="O73" s="2"/>
      <c r="P73" s="2"/>
    </row>
    <row r="74" spans="1:16" ht="13.5" thickBot="1">
      <c r="A74" s="420" t="s">
        <v>31</v>
      </c>
      <c r="B74" s="430"/>
      <c r="C74" s="476"/>
      <c r="D74" s="477">
        <f>(0.06*55*0.73*Prices!$C$20*B74)*1.15</f>
        <v>0</v>
      </c>
      <c r="E74" s="480">
        <f>SUM(C74:D74)</f>
        <v>0</v>
      </c>
      <c r="F74" s="480"/>
      <c r="G74" s="481"/>
      <c r="H74" s="501"/>
      <c r="I74" s="3"/>
      <c r="N74" s="2"/>
      <c r="O74" s="2"/>
      <c r="P74" s="2"/>
    </row>
    <row r="75" spans="1:16" ht="12.75">
      <c r="A75" s="48"/>
      <c r="B75" s="163"/>
      <c r="C75" s="482"/>
      <c r="D75" s="482"/>
      <c r="E75" s="483"/>
      <c r="F75" s="483"/>
      <c r="G75" s="51"/>
      <c r="H75" s="482"/>
      <c r="I75" s="3"/>
      <c r="N75" s="2"/>
      <c r="O75" s="2"/>
      <c r="P75" s="2"/>
    </row>
    <row r="76" spans="1:16" ht="13.5" thickBot="1">
      <c r="A76" s="191" t="s">
        <v>222</v>
      </c>
      <c r="B76" s="192"/>
      <c r="C76" s="484"/>
      <c r="D76" s="484"/>
      <c r="E76" s="485"/>
      <c r="F76" s="485"/>
      <c r="G76" s="486"/>
      <c r="H76" s="484"/>
      <c r="I76" s="3"/>
      <c r="N76" s="2"/>
      <c r="O76" s="2"/>
      <c r="P76" s="2"/>
    </row>
    <row r="77" spans="1:16" ht="12.75">
      <c r="A77" s="422" t="s">
        <v>223</v>
      </c>
      <c r="B77" s="423">
        <v>65</v>
      </c>
      <c r="C77" s="471">
        <v>300</v>
      </c>
      <c r="D77" s="474">
        <v>0</v>
      </c>
      <c r="E77" s="478">
        <f aca="true" t="shared" si="22" ref="E77:E83">SUM(C77:D77)</f>
        <v>300</v>
      </c>
      <c r="F77" s="478"/>
      <c r="G77" s="424">
        <v>0</v>
      </c>
      <c r="H77" s="499">
        <f aca="true" t="shared" si="23" ref="H77:H83">G77*E77</f>
        <v>0</v>
      </c>
      <c r="I77" s="3"/>
      <c r="N77" s="2"/>
      <c r="O77" s="2"/>
      <c r="P77" s="2"/>
    </row>
    <row r="78" spans="1:16" ht="12.75">
      <c r="A78" s="425" t="s">
        <v>224</v>
      </c>
      <c r="B78" s="417">
        <v>85</v>
      </c>
      <c r="C78" s="472">
        <v>425</v>
      </c>
      <c r="D78" s="475">
        <v>0</v>
      </c>
      <c r="E78" s="479">
        <f t="shared" si="22"/>
        <v>425</v>
      </c>
      <c r="F78" s="479"/>
      <c r="G78" s="426">
        <v>0</v>
      </c>
      <c r="H78" s="500">
        <f t="shared" si="23"/>
        <v>0</v>
      </c>
      <c r="I78" s="3"/>
      <c r="N78" s="2"/>
      <c r="O78" s="2"/>
      <c r="P78" s="2"/>
    </row>
    <row r="79" spans="1:16" ht="12.75">
      <c r="A79" s="425" t="s">
        <v>225</v>
      </c>
      <c r="B79" s="417">
        <v>50</v>
      </c>
      <c r="C79" s="472">
        <v>64</v>
      </c>
      <c r="D79" s="475">
        <v>0</v>
      </c>
      <c r="E79" s="479">
        <f t="shared" si="22"/>
        <v>64</v>
      </c>
      <c r="F79" s="479"/>
      <c r="G79" s="426">
        <v>0</v>
      </c>
      <c r="H79" s="500">
        <f t="shared" si="23"/>
        <v>0</v>
      </c>
      <c r="I79" s="3"/>
      <c r="N79" s="2"/>
      <c r="O79" s="2"/>
      <c r="P79" s="2"/>
    </row>
    <row r="80" spans="1:16" ht="12.75">
      <c r="A80" s="425" t="s">
        <v>226</v>
      </c>
      <c r="B80" s="417">
        <v>100</v>
      </c>
      <c r="C80" s="472"/>
      <c r="D80" s="475"/>
      <c r="E80" s="479">
        <f t="shared" si="22"/>
        <v>0</v>
      </c>
      <c r="F80" s="479"/>
      <c r="G80" s="426">
        <v>0</v>
      </c>
      <c r="H80" s="500">
        <f t="shared" si="23"/>
        <v>0</v>
      </c>
      <c r="I80" s="3"/>
      <c r="N80" s="2"/>
      <c r="O80" s="2"/>
      <c r="P80" s="2"/>
    </row>
    <row r="81" spans="1:16" ht="12.75">
      <c r="A81" s="425" t="s">
        <v>227</v>
      </c>
      <c r="B81" s="417">
        <v>250</v>
      </c>
      <c r="C81" s="472">
        <v>2777</v>
      </c>
      <c r="D81" s="475">
        <v>0</v>
      </c>
      <c r="E81" s="479">
        <f t="shared" si="22"/>
        <v>2777</v>
      </c>
      <c r="F81" s="479"/>
      <c r="G81" s="426">
        <v>0</v>
      </c>
      <c r="H81" s="500">
        <f t="shared" si="23"/>
        <v>0</v>
      </c>
      <c r="I81" s="3"/>
      <c r="N81" s="2"/>
      <c r="O81" s="2"/>
      <c r="P81" s="2"/>
    </row>
    <row r="82" spans="1:16" ht="12.75">
      <c r="A82" s="425" t="s">
        <v>228</v>
      </c>
      <c r="B82" s="417">
        <v>100</v>
      </c>
      <c r="C82" s="472">
        <v>651</v>
      </c>
      <c r="D82" s="475">
        <v>0</v>
      </c>
      <c r="E82" s="479">
        <f t="shared" si="22"/>
        <v>651</v>
      </c>
      <c r="F82" s="479"/>
      <c r="G82" s="426">
        <v>0</v>
      </c>
      <c r="H82" s="500">
        <f t="shared" si="23"/>
        <v>0</v>
      </c>
      <c r="I82" s="3"/>
      <c r="N82" s="2"/>
      <c r="O82" s="2"/>
      <c r="P82" s="2"/>
    </row>
    <row r="83" spans="1:16" ht="13.5" thickBot="1">
      <c r="A83" s="427" t="s">
        <v>229</v>
      </c>
      <c r="B83" s="428">
        <v>85</v>
      </c>
      <c r="C83" s="473">
        <v>79</v>
      </c>
      <c r="D83" s="477">
        <v>0</v>
      </c>
      <c r="E83" s="480">
        <f t="shared" si="22"/>
        <v>79</v>
      </c>
      <c r="F83" s="480"/>
      <c r="G83" s="487">
        <v>0</v>
      </c>
      <c r="H83" s="501">
        <f t="shared" si="23"/>
        <v>0</v>
      </c>
      <c r="I83" s="3"/>
      <c r="N83" s="2"/>
      <c r="O83" s="2"/>
      <c r="P83" s="2"/>
    </row>
    <row r="84" spans="1:16" ht="12.75">
      <c r="A84" s="48"/>
      <c r="B84" s="190"/>
      <c r="C84" s="482"/>
      <c r="D84" s="482"/>
      <c r="E84" s="483"/>
      <c r="F84" s="483"/>
      <c r="G84" s="51"/>
      <c r="H84" s="482"/>
      <c r="I84" s="3"/>
      <c r="N84" s="2"/>
      <c r="O84" s="2"/>
      <c r="P84" s="2"/>
    </row>
    <row r="85" spans="1:16" ht="13.5" thickBot="1">
      <c r="A85" s="191" t="s">
        <v>230</v>
      </c>
      <c r="B85" s="192"/>
      <c r="C85" s="484"/>
      <c r="D85" s="484"/>
      <c r="E85" s="485"/>
      <c r="F85" s="485"/>
      <c r="G85" s="486"/>
      <c r="H85" s="484"/>
      <c r="I85" s="3"/>
      <c r="N85" s="2"/>
      <c r="O85" s="2"/>
      <c r="P85" s="2"/>
    </row>
    <row r="86" spans="1:16" ht="12.75">
      <c r="A86" s="422" t="s">
        <v>231</v>
      </c>
      <c r="B86" s="423">
        <v>75</v>
      </c>
      <c r="C86" s="471">
        <v>800</v>
      </c>
      <c r="D86" s="474">
        <v>0</v>
      </c>
      <c r="E86" s="478">
        <f>SUM(C86:D86)</f>
        <v>800</v>
      </c>
      <c r="F86" s="478"/>
      <c r="G86" s="424">
        <v>0</v>
      </c>
      <c r="H86" s="499">
        <f>G86*E86</f>
        <v>0</v>
      </c>
      <c r="I86" s="3"/>
      <c r="N86" s="2"/>
      <c r="O86" s="2"/>
      <c r="P86" s="2"/>
    </row>
    <row r="87" spans="1:16" ht="12.75">
      <c r="A87" s="425" t="s">
        <v>253</v>
      </c>
      <c r="B87" s="417">
        <v>90</v>
      </c>
      <c r="C87" s="472">
        <v>1237</v>
      </c>
      <c r="D87" s="475">
        <v>0</v>
      </c>
      <c r="E87" s="479">
        <f>SUM(C87:D87)</f>
        <v>1237</v>
      </c>
      <c r="F87" s="479"/>
      <c r="G87" s="426">
        <v>0</v>
      </c>
      <c r="H87" s="500">
        <f>G87*E87</f>
        <v>0</v>
      </c>
      <c r="I87" s="3"/>
      <c r="N87" s="2"/>
      <c r="O87" s="2"/>
      <c r="P87" s="2"/>
    </row>
    <row r="88" spans="1:16" ht="13.5" thickBot="1">
      <c r="A88" s="427" t="s">
        <v>252</v>
      </c>
      <c r="B88" s="428">
        <v>70</v>
      </c>
      <c r="C88" s="473">
        <v>50</v>
      </c>
      <c r="D88" s="477">
        <v>0</v>
      </c>
      <c r="E88" s="480"/>
      <c r="F88" s="480"/>
      <c r="G88" s="487">
        <v>0</v>
      </c>
      <c r="H88" s="501">
        <f>G88*E88</f>
        <v>0</v>
      </c>
      <c r="I88" s="3"/>
      <c r="N88" s="2"/>
      <c r="O88" s="2"/>
      <c r="P88" s="2"/>
    </row>
    <row r="89" spans="1:16" ht="12.75">
      <c r="A89" s="48"/>
      <c r="B89" s="190"/>
      <c r="C89" s="482"/>
      <c r="D89" s="482"/>
      <c r="E89" s="483"/>
      <c r="F89" s="483"/>
      <c r="G89" s="51"/>
      <c r="H89" s="482"/>
      <c r="I89" s="3"/>
      <c r="N89" s="2"/>
      <c r="O89" s="2"/>
      <c r="P89" s="2"/>
    </row>
    <row r="90" spans="1:16" ht="15.75" customHeight="1" thickBot="1">
      <c r="A90" s="191" t="s">
        <v>213</v>
      </c>
      <c r="B90" s="195"/>
      <c r="C90" s="488"/>
      <c r="D90" s="488"/>
      <c r="E90" s="488"/>
      <c r="F90" s="488"/>
      <c r="G90" s="489"/>
      <c r="H90" s="490"/>
      <c r="I90" s="3"/>
      <c r="N90" s="2"/>
      <c r="O90" s="2"/>
      <c r="P90" s="2"/>
    </row>
    <row r="91" spans="1:16" ht="15.75" customHeight="1">
      <c r="A91" s="422" t="s">
        <v>214</v>
      </c>
      <c r="B91" s="423">
        <v>55</v>
      </c>
      <c r="C91" s="494">
        <v>5265</v>
      </c>
      <c r="D91" s="474">
        <f>(0.06*75*0.73*Prices!$C$20*B91)*1.15</f>
        <v>353.219625</v>
      </c>
      <c r="E91" s="478">
        <f aca="true" t="shared" si="24" ref="E91:E99">SUM(C91:D91)</f>
        <v>5618.219625</v>
      </c>
      <c r="F91" s="478"/>
      <c r="G91" s="424">
        <v>0.5</v>
      </c>
      <c r="H91" s="499">
        <f aca="true" t="shared" si="25" ref="H91:H101">G91*E91</f>
        <v>2809.1098125</v>
      </c>
      <c r="I91" s="3"/>
      <c r="N91" s="2"/>
      <c r="O91" s="2"/>
      <c r="P91" s="2"/>
    </row>
    <row r="92" spans="1:16" ht="15.75" customHeight="1">
      <c r="A92" s="425" t="s">
        <v>215</v>
      </c>
      <c r="B92" s="417">
        <v>55</v>
      </c>
      <c r="C92" s="495">
        <v>2246</v>
      </c>
      <c r="D92" s="491">
        <v>0</v>
      </c>
      <c r="E92" s="479">
        <f t="shared" si="24"/>
        <v>2246</v>
      </c>
      <c r="F92" s="479"/>
      <c r="G92" s="426">
        <v>1</v>
      </c>
      <c r="H92" s="500">
        <f t="shared" si="25"/>
        <v>2246</v>
      </c>
      <c r="I92" s="3"/>
      <c r="N92" s="2"/>
      <c r="O92" s="2"/>
      <c r="P92" s="2"/>
    </row>
    <row r="93" spans="1:16" ht="15.75" customHeight="1">
      <c r="A93" s="425" t="s">
        <v>216</v>
      </c>
      <c r="B93" s="417">
        <v>70</v>
      </c>
      <c r="C93" s="495">
        <v>2651</v>
      </c>
      <c r="D93" s="491">
        <v>0</v>
      </c>
      <c r="E93" s="479">
        <f t="shared" si="24"/>
        <v>2651</v>
      </c>
      <c r="F93" s="479"/>
      <c r="G93" s="426">
        <v>0.5</v>
      </c>
      <c r="H93" s="500">
        <f t="shared" si="25"/>
        <v>1325.5</v>
      </c>
      <c r="I93" s="3"/>
      <c r="N93" s="2"/>
      <c r="O93" s="2"/>
      <c r="P93" s="2"/>
    </row>
    <row r="94" spans="1:16" ht="15.75" customHeight="1">
      <c r="A94" s="425" t="s">
        <v>217</v>
      </c>
      <c r="B94" s="417">
        <v>70</v>
      </c>
      <c r="C94" s="495">
        <v>1473</v>
      </c>
      <c r="D94" s="491">
        <v>0</v>
      </c>
      <c r="E94" s="479">
        <f t="shared" si="24"/>
        <v>1473</v>
      </c>
      <c r="F94" s="479"/>
      <c r="G94" s="426">
        <v>0.5</v>
      </c>
      <c r="H94" s="500">
        <f t="shared" si="25"/>
        <v>736.5</v>
      </c>
      <c r="I94" s="3"/>
      <c r="N94" s="2"/>
      <c r="O94" s="2"/>
      <c r="P94" s="2"/>
    </row>
    <row r="95" spans="1:16" ht="15.75" customHeight="1">
      <c r="A95" s="425" t="s">
        <v>218</v>
      </c>
      <c r="B95" s="417">
        <v>257</v>
      </c>
      <c r="C95" s="495">
        <v>429</v>
      </c>
      <c r="D95" s="491">
        <v>0</v>
      </c>
      <c r="E95" s="479">
        <f t="shared" si="24"/>
        <v>429</v>
      </c>
      <c r="F95" s="479"/>
      <c r="G95" s="426">
        <v>1</v>
      </c>
      <c r="H95" s="500">
        <f t="shared" si="25"/>
        <v>429</v>
      </c>
      <c r="I95" s="3"/>
      <c r="N95" s="2"/>
      <c r="O95" s="2"/>
      <c r="P95" s="2"/>
    </row>
    <row r="96" spans="1:16" ht="15.75" customHeight="1">
      <c r="A96" s="425" t="s">
        <v>700</v>
      </c>
      <c r="B96" s="417">
        <v>53</v>
      </c>
      <c r="C96" s="495">
        <v>441</v>
      </c>
      <c r="D96" s="491">
        <v>0</v>
      </c>
      <c r="E96" s="479">
        <f t="shared" si="24"/>
        <v>441</v>
      </c>
      <c r="F96" s="479"/>
      <c r="G96" s="426">
        <v>1</v>
      </c>
      <c r="H96" s="500">
        <f t="shared" si="25"/>
        <v>441</v>
      </c>
      <c r="I96" s="3"/>
      <c r="N96" s="2"/>
      <c r="O96" s="2"/>
      <c r="P96" s="2"/>
    </row>
    <row r="97" spans="1:16" ht="15.75" customHeight="1">
      <c r="A97" s="425" t="s">
        <v>219</v>
      </c>
      <c r="B97" s="417">
        <v>50</v>
      </c>
      <c r="C97" s="495">
        <v>3013</v>
      </c>
      <c r="D97" s="491">
        <v>0</v>
      </c>
      <c r="E97" s="479">
        <f t="shared" si="24"/>
        <v>3013</v>
      </c>
      <c r="F97" s="479"/>
      <c r="G97" s="426">
        <v>1</v>
      </c>
      <c r="H97" s="500">
        <f t="shared" si="25"/>
        <v>3013</v>
      </c>
      <c r="I97" s="4"/>
      <c r="J97" s="4"/>
      <c r="K97" s="4"/>
      <c r="L97" s="4"/>
      <c r="M97" s="4"/>
      <c r="N97" s="53"/>
      <c r="O97" s="53"/>
      <c r="P97" s="53"/>
    </row>
    <row r="98" spans="1:16" ht="15.75" customHeight="1">
      <c r="A98" s="425" t="s">
        <v>220</v>
      </c>
      <c r="B98" s="417">
        <v>20</v>
      </c>
      <c r="C98" s="495">
        <v>12614</v>
      </c>
      <c r="D98" s="475">
        <f>(0.06*75*0.73*Prices!$C$20*B98)*1.15</f>
        <v>128.4435</v>
      </c>
      <c r="E98" s="479">
        <f t="shared" si="24"/>
        <v>12742.4435</v>
      </c>
      <c r="F98" s="479"/>
      <c r="G98" s="426">
        <v>1</v>
      </c>
      <c r="H98" s="500">
        <f t="shared" si="25"/>
        <v>12742.4435</v>
      </c>
      <c r="I98" s="4"/>
      <c r="J98" s="4"/>
      <c r="K98" s="4"/>
      <c r="L98" s="4"/>
      <c r="M98" s="4"/>
      <c r="N98" s="53"/>
      <c r="O98" s="53"/>
      <c r="P98" s="53"/>
    </row>
    <row r="99" spans="1:16" ht="15.75" customHeight="1">
      <c r="A99" s="425" t="s">
        <v>254</v>
      </c>
      <c r="B99" s="417">
        <v>24</v>
      </c>
      <c r="C99" s="495">
        <v>1598</v>
      </c>
      <c r="D99" s="491">
        <v>0</v>
      </c>
      <c r="E99" s="479">
        <f t="shared" si="24"/>
        <v>1598</v>
      </c>
      <c r="F99" s="479"/>
      <c r="G99" s="426">
        <v>0.5</v>
      </c>
      <c r="H99" s="500">
        <f t="shared" si="25"/>
        <v>799</v>
      </c>
      <c r="I99" s="4"/>
      <c r="J99" s="4"/>
      <c r="K99" s="4"/>
      <c r="L99" s="4"/>
      <c r="M99" s="4"/>
      <c r="N99" s="53"/>
      <c r="O99" s="53"/>
      <c r="P99" s="53"/>
    </row>
    <row r="100" spans="1:16" ht="12.75">
      <c r="A100" s="419" t="s">
        <v>31</v>
      </c>
      <c r="B100" s="209"/>
      <c r="C100" s="491"/>
      <c r="D100" s="491"/>
      <c r="E100" s="491"/>
      <c r="F100" s="491"/>
      <c r="G100" s="426">
        <v>0</v>
      </c>
      <c r="H100" s="500">
        <f t="shared" si="25"/>
        <v>0</v>
      </c>
      <c r="I100" s="4"/>
      <c r="J100" s="4"/>
      <c r="K100" s="4"/>
      <c r="L100" s="4"/>
      <c r="M100" s="4"/>
      <c r="N100" s="53"/>
      <c r="O100" s="53"/>
      <c r="P100" s="53"/>
    </row>
    <row r="101" spans="1:8" ht="13.5" thickBot="1">
      <c r="A101" s="420" t="s">
        <v>31</v>
      </c>
      <c r="B101" s="429"/>
      <c r="C101" s="480"/>
      <c r="D101" s="480"/>
      <c r="E101" s="480"/>
      <c r="F101" s="480"/>
      <c r="G101" s="487">
        <v>0</v>
      </c>
      <c r="H101" s="501">
        <f t="shared" si="25"/>
        <v>0</v>
      </c>
    </row>
    <row r="102" spans="1:8" ht="12.75">
      <c r="A102" s="470"/>
      <c r="B102" s="11"/>
      <c r="C102" s="164"/>
      <c r="D102" s="164"/>
      <c r="E102" s="164"/>
      <c r="F102" s="164"/>
      <c r="H102" s="178"/>
    </row>
    <row r="103" spans="1:8" ht="13.5" thickBot="1">
      <c r="A103" s="191" t="s">
        <v>232</v>
      </c>
      <c r="B103" s="194"/>
      <c r="C103" s="193"/>
      <c r="D103" s="193"/>
      <c r="E103" s="193"/>
      <c r="F103" s="193"/>
      <c r="G103" s="196"/>
      <c r="H103" s="197"/>
    </row>
    <row r="104" spans="1:8" ht="12.75">
      <c r="A104" s="422" t="s">
        <v>233</v>
      </c>
      <c r="B104" s="423">
        <v>80</v>
      </c>
      <c r="C104" s="492">
        <v>320</v>
      </c>
      <c r="D104" s="410">
        <v>0</v>
      </c>
      <c r="E104" s="410">
        <f aca="true" t="shared" si="26" ref="E104:E110">SUM(C104:D104)</f>
        <v>320</v>
      </c>
      <c r="F104" s="410"/>
      <c r="G104" s="424">
        <v>0</v>
      </c>
      <c r="H104" s="499">
        <f aca="true" t="shared" si="27" ref="H104:H110">G104*E104</f>
        <v>0</v>
      </c>
    </row>
    <row r="105" spans="1:8" ht="12.75">
      <c r="A105" s="425" t="s">
        <v>234</v>
      </c>
      <c r="B105" s="417">
        <v>170</v>
      </c>
      <c r="C105" s="493">
        <v>1939</v>
      </c>
      <c r="D105" s="415">
        <v>0</v>
      </c>
      <c r="E105" s="415">
        <f t="shared" si="26"/>
        <v>1939</v>
      </c>
      <c r="F105" s="415"/>
      <c r="G105" s="426">
        <v>0.5</v>
      </c>
      <c r="H105" s="500">
        <f t="shared" si="27"/>
        <v>969.5</v>
      </c>
    </row>
    <row r="106" spans="1:8" ht="12.75">
      <c r="A106" s="425" t="s">
        <v>235</v>
      </c>
      <c r="B106" s="417">
        <v>15</v>
      </c>
      <c r="C106" s="493">
        <v>685</v>
      </c>
      <c r="D106" s="415">
        <v>0</v>
      </c>
      <c r="E106" s="415">
        <f t="shared" si="26"/>
        <v>685</v>
      </c>
      <c r="F106" s="415"/>
      <c r="G106" s="426">
        <v>0.5</v>
      </c>
      <c r="H106" s="500">
        <f t="shared" si="27"/>
        <v>342.5</v>
      </c>
    </row>
    <row r="107" spans="1:8" ht="12.75">
      <c r="A107" s="425" t="s">
        <v>236</v>
      </c>
      <c r="B107" s="417">
        <v>20</v>
      </c>
      <c r="C107" s="493">
        <v>230</v>
      </c>
      <c r="D107" s="415">
        <v>0</v>
      </c>
      <c r="E107" s="415">
        <f t="shared" si="26"/>
        <v>230</v>
      </c>
      <c r="F107" s="415"/>
      <c r="G107" s="426">
        <v>0</v>
      </c>
      <c r="H107" s="500">
        <f t="shared" si="27"/>
        <v>0</v>
      </c>
    </row>
    <row r="108" spans="1:8" ht="12.75">
      <c r="A108" s="425" t="s">
        <v>237</v>
      </c>
      <c r="B108" s="417">
        <v>20</v>
      </c>
      <c r="C108" s="493">
        <v>230</v>
      </c>
      <c r="D108" s="415">
        <v>0</v>
      </c>
      <c r="E108" s="415">
        <f t="shared" si="26"/>
        <v>230</v>
      </c>
      <c r="F108" s="415"/>
      <c r="G108" s="426">
        <v>0</v>
      </c>
      <c r="H108" s="500">
        <f t="shared" si="27"/>
        <v>0</v>
      </c>
    </row>
    <row r="109" spans="1:8" ht="12.75">
      <c r="A109" s="425" t="s">
        <v>31</v>
      </c>
      <c r="B109" s="417"/>
      <c r="C109" s="415"/>
      <c r="D109" s="415"/>
      <c r="E109" s="415">
        <f t="shared" si="26"/>
        <v>0</v>
      </c>
      <c r="F109" s="415"/>
      <c r="G109" s="426">
        <v>0</v>
      </c>
      <c r="H109" s="500">
        <f t="shared" si="27"/>
        <v>0</v>
      </c>
    </row>
    <row r="110" spans="1:8" ht="13.5" thickBot="1">
      <c r="A110" s="427" t="s">
        <v>31</v>
      </c>
      <c r="B110" s="428"/>
      <c r="C110" s="421"/>
      <c r="D110" s="421"/>
      <c r="E110" s="421">
        <f t="shared" si="26"/>
        <v>0</v>
      </c>
      <c r="F110" s="421"/>
      <c r="G110" s="381"/>
      <c r="H110" s="501">
        <f t="shared" si="27"/>
        <v>0</v>
      </c>
    </row>
    <row r="111" spans="1:6" ht="17.25" customHeight="1" thickBot="1">
      <c r="A111" s="200"/>
      <c r="B111" s="160"/>
      <c r="C111" s="164"/>
      <c r="D111" s="164"/>
      <c r="E111" s="164"/>
      <c r="F111" s="164"/>
    </row>
    <row r="112" spans="1:11" ht="51.75" thickBot="1">
      <c r="A112" s="201" t="s">
        <v>255</v>
      </c>
      <c r="B112" s="44" t="s">
        <v>258</v>
      </c>
      <c r="C112" s="44" t="s">
        <v>54</v>
      </c>
      <c r="D112" s="44" t="s">
        <v>257</v>
      </c>
      <c r="E112" s="43" t="s">
        <v>55</v>
      </c>
      <c r="F112" s="43"/>
      <c r="G112" s="43" t="s">
        <v>56</v>
      </c>
      <c r="H112" s="44" t="s">
        <v>265</v>
      </c>
      <c r="I112" s="496" t="s">
        <v>266</v>
      </c>
      <c r="J112" s="2"/>
      <c r="K112" s="2"/>
    </row>
    <row r="113" spans="1:11" ht="12.75">
      <c r="A113" s="407" t="s">
        <v>248</v>
      </c>
      <c r="B113" s="408">
        <v>15000</v>
      </c>
      <c r="C113" s="408">
        <v>713</v>
      </c>
      <c r="D113" s="409">
        <v>14</v>
      </c>
      <c r="E113" s="410">
        <f>((B113/D113)*Prices!$C$20)*1.15</f>
        <v>2094.6428571428564</v>
      </c>
      <c r="F113" s="410"/>
      <c r="G113" s="410">
        <f aca="true" t="shared" si="28" ref="G113:G118">E113+C113</f>
        <v>2807.6428571428564</v>
      </c>
      <c r="H113" s="411">
        <v>0.35</v>
      </c>
      <c r="I113" s="497">
        <f aca="true" t="shared" si="29" ref="I113:I118">H113*G113</f>
        <v>982.6749999999997</v>
      </c>
      <c r="J113" s="2"/>
      <c r="K113" s="2"/>
    </row>
    <row r="114" spans="1:11" ht="12.75">
      <c r="A114" s="412" t="s">
        <v>249</v>
      </c>
      <c r="B114" s="413">
        <v>5000</v>
      </c>
      <c r="C114" s="413">
        <v>2000</v>
      </c>
      <c r="D114" s="414">
        <v>5</v>
      </c>
      <c r="E114" s="415">
        <f>((B114/D114)*Prices!$C$20)*1.15</f>
        <v>1954.9999999999998</v>
      </c>
      <c r="F114" s="415"/>
      <c r="G114" s="415">
        <f t="shared" si="28"/>
        <v>3955</v>
      </c>
      <c r="H114" s="416">
        <v>0.35</v>
      </c>
      <c r="I114" s="498">
        <f t="shared" si="29"/>
        <v>1384.25</v>
      </c>
      <c r="J114" s="2"/>
      <c r="K114" s="2"/>
    </row>
    <row r="115" spans="1:11" ht="12.75">
      <c r="A115" s="412" t="s">
        <v>250</v>
      </c>
      <c r="B115" s="413">
        <v>2200</v>
      </c>
      <c r="C115" s="413">
        <v>319</v>
      </c>
      <c r="D115" s="414">
        <v>35</v>
      </c>
      <c r="E115" s="415">
        <f>((B115/D115)*Prices!$C$20)*1.15</f>
        <v>122.88571428571426</v>
      </c>
      <c r="F115" s="415"/>
      <c r="G115" s="415">
        <f t="shared" si="28"/>
        <v>441.88571428571424</v>
      </c>
      <c r="H115" s="416">
        <v>0.35</v>
      </c>
      <c r="I115" s="498">
        <f t="shared" si="29"/>
        <v>154.65999999999997</v>
      </c>
      <c r="J115" s="2"/>
      <c r="K115" s="2"/>
    </row>
    <row r="116" spans="1:11" ht="12.75">
      <c r="A116" s="412" t="s">
        <v>251</v>
      </c>
      <c r="B116" s="417">
        <v>5000</v>
      </c>
      <c r="C116" s="417">
        <v>1200</v>
      </c>
      <c r="D116" s="418">
        <v>7</v>
      </c>
      <c r="E116" s="415">
        <f>((B116/D116)*Prices!$C$20)*1.15</f>
        <v>1396.4285714285716</v>
      </c>
      <c r="F116" s="415"/>
      <c r="G116" s="415">
        <f t="shared" si="28"/>
        <v>2596.4285714285716</v>
      </c>
      <c r="H116" s="416">
        <v>0.35</v>
      </c>
      <c r="I116" s="498">
        <f t="shared" si="29"/>
        <v>908.75</v>
      </c>
      <c r="J116" s="2"/>
      <c r="K116" s="2"/>
    </row>
    <row r="117" spans="1:9" ht="12.75">
      <c r="A117" s="419" t="s">
        <v>31</v>
      </c>
      <c r="B117" s="516">
        <v>0</v>
      </c>
      <c r="C117" s="493">
        <v>0</v>
      </c>
      <c r="D117" s="493">
        <v>1</v>
      </c>
      <c r="E117" s="415">
        <f>((B117/D117)*Prices!$C$20)*1.15</f>
        <v>0</v>
      </c>
      <c r="F117" s="415"/>
      <c r="G117" s="415">
        <f t="shared" si="28"/>
        <v>0</v>
      </c>
      <c r="H117" s="416"/>
      <c r="I117" s="498">
        <f t="shared" si="29"/>
        <v>0</v>
      </c>
    </row>
    <row r="118" spans="1:9" ht="13.5" thickBot="1">
      <c r="A118" s="420" t="s">
        <v>31</v>
      </c>
      <c r="B118" s="517">
        <v>0</v>
      </c>
      <c r="C118" s="518">
        <v>0</v>
      </c>
      <c r="D118" s="518">
        <v>1</v>
      </c>
      <c r="E118" s="421">
        <f>((B118/D118)*Prices!$C$20)*1.15</f>
        <v>0</v>
      </c>
      <c r="F118" s="421"/>
      <c r="G118" s="421">
        <f t="shared" si="28"/>
        <v>0</v>
      </c>
      <c r="H118" s="515"/>
      <c r="I118" s="519">
        <f t="shared" si="29"/>
        <v>0</v>
      </c>
    </row>
    <row r="119" spans="1:6" ht="18.75" customHeight="1" thickBot="1">
      <c r="A119" s="349"/>
      <c r="C119" s="164"/>
      <c r="D119" s="164"/>
      <c r="E119" s="164"/>
      <c r="F119" s="164"/>
    </row>
    <row r="120" spans="1:6" ht="36.75" thickBot="1">
      <c r="A120" s="806" t="s">
        <v>267</v>
      </c>
      <c r="B120" s="503" t="s">
        <v>5</v>
      </c>
      <c r="C120" s="503" t="s">
        <v>268</v>
      </c>
      <c r="D120" s="164"/>
      <c r="E120" s="165"/>
      <c r="F120" s="165"/>
    </row>
    <row r="121" spans="1:3" ht="22.5" customHeight="1" thickBot="1">
      <c r="A121" s="807"/>
      <c r="B121" s="406">
        <f>SUM(H69:H110)+SUM(I113:I118)</f>
        <v>31699.163727499996</v>
      </c>
      <c r="C121" s="406">
        <f>B121/C1</f>
        <v>79.24790931874999</v>
      </c>
    </row>
    <row r="122" ht="19.5" customHeight="1" thickBot="1">
      <c r="A122" s="157"/>
    </row>
    <row r="123" spans="1:7" ht="64.5" thickBot="1">
      <c r="A123" s="404" t="s">
        <v>275</v>
      </c>
      <c r="B123" s="44" t="s">
        <v>276</v>
      </c>
      <c r="C123" s="44" t="s">
        <v>277</v>
      </c>
      <c r="D123" s="44" t="s">
        <v>278</v>
      </c>
      <c r="E123" s="43" t="s">
        <v>279</v>
      </c>
      <c r="F123" s="43"/>
      <c r="G123" s="43" t="s">
        <v>280</v>
      </c>
    </row>
    <row r="124" spans="1:7" ht="19.5" customHeight="1" thickBot="1">
      <c r="A124" s="467"/>
      <c r="B124" s="468">
        <f>B70*G70+B71*G71+B72*G72+B73*G73+B74*G74+B77*G77+B78*G78+B79*G79+B80*G80+B81*G81+B82*G82+B83*G83+B86*G86+B87*G87+B88*G88+B91*G91+B91*G91+B92*G92+B93*G93+B94*G94+B95*G95+B96*G96+B97*G97+B98*G98+B99*G99+B100*G100+B101*G101+B104*G104+B105*G105+B106*G106+B107*G107+B108*G108+B109*G109+B110*G110</f>
        <v>1021.5</v>
      </c>
      <c r="C124" s="469">
        <f>'Farm and Buffer Assumptions'!C16</f>
        <v>1.15</v>
      </c>
      <c r="D124" s="512">
        <f>Prices!C18</f>
        <v>10.5</v>
      </c>
      <c r="E124" s="514">
        <f>B124*C124*D124</f>
        <v>12334.6125</v>
      </c>
      <c r="F124" s="666"/>
      <c r="G124" s="513">
        <f>E124/C1</f>
        <v>30.836531249999997</v>
      </c>
    </row>
    <row r="125" ht="18" customHeight="1">
      <c r="A125" s="157"/>
    </row>
    <row r="126" ht="17.25" customHeight="1">
      <c r="A126" s="39" t="s">
        <v>57</v>
      </c>
    </row>
  </sheetData>
  <sheetProtection/>
  <mergeCells count="2">
    <mergeCell ref="A1:B1"/>
    <mergeCell ref="A120:A121"/>
  </mergeCells>
  <printOptions/>
  <pageMargins left="0.5" right="0.5" top="0.75" bottom="0.75" header="0.34" footer="0.45"/>
  <pageSetup fitToHeight="1" fitToWidth="1" orientation="portrait" scale="62" r:id="rId3"/>
  <headerFooter alignWithMargins="0">
    <oddHeader>&amp;LFile: &amp;F, Sheet: &amp;A&amp;R&amp;D, &amp;T</oddHeader>
    <oddFooter>&amp;LPrepared by:
Resource Consulting</oddFooter>
  </headerFooter>
  <rowBreaks count="1" manualBreakCount="1">
    <brk id="46" max="15" man="1"/>
  </rowBreaks>
  <legacyDrawing r:id="rId2"/>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A1" sqref="A1:F1"/>
    </sheetView>
  </sheetViews>
  <sheetFormatPr defaultColWidth="9.140625" defaultRowHeight="12.75"/>
  <cols>
    <col min="1" max="1" width="40.7109375" style="0" customWidth="1"/>
    <col min="5" max="5" width="16.28125" style="0" customWidth="1"/>
    <col min="6" max="6" width="15.421875" style="0" customWidth="1"/>
    <col min="7" max="7" width="8.00390625" style="0" customWidth="1"/>
    <col min="8" max="8" width="9.140625" style="339" customWidth="1"/>
  </cols>
  <sheetData>
    <row r="1" spans="1:6" ht="45.75" customHeight="1">
      <c r="A1" s="808" t="s">
        <v>0</v>
      </c>
      <c r="B1" s="809"/>
      <c r="C1" s="809"/>
      <c r="D1" s="809"/>
      <c r="E1" s="809"/>
      <c r="F1" s="809"/>
    </row>
    <row r="2" spans="1:6" ht="26.25" customHeight="1" thickBot="1">
      <c r="A2" s="1" t="s">
        <v>1</v>
      </c>
      <c r="B2" s="5">
        <f>'Farm and Buffer Assumptions'!C20+'Farm and Buffer Assumptions'!C21</f>
        <v>400</v>
      </c>
      <c r="C2" s="3"/>
      <c r="D2" s="3"/>
      <c r="E2" s="6"/>
      <c r="F2" s="3"/>
    </row>
    <row r="3" spans="1:6" ht="20.25" customHeight="1" thickBot="1">
      <c r="A3" s="2"/>
      <c r="B3" s="7" t="s">
        <v>2</v>
      </c>
      <c r="C3" s="8" t="s">
        <v>3</v>
      </c>
      <c r="D3" s="8" t="s">
        <v>4</v>
      </c>
      <c r="E3" s="9" t="s">
        <v>5</v>
      </c>
      <c r="F3" s="9" t="s">
        <v>6</v>
      </c>
    </row>
    <row r="4" spans="1:6" ht="16.5" customHeight="1">
      <c r="A4" s="12" t="s">
        <v>7</v>
      </c>
      <c r="B4" s="13"/>
      <c r="C4" s="14"/>
      <c r="D4" s="15"/>
      <c r="E4" s="16"/>
      <c r="F4" s="14"/>
    </row>
    <row r="5" spans="1:6" ht="15" customHeight="1">
      <c r="A5" s="17" t="s">
        <v>8</v>
      </c>
      <c r="B5" s="17" t="s">
        <v>11</v>
      </c>
      <c r="C5" s="18">
        <f>Prices!C6</f>
        <v>28.5</v>
      </c>
      <c r="D5" s="20">
        <f>B2*'Farm and Buffer Assumptions'!C4</f>
        <v>5200</v>
      </c>
      <c r="E5" s="20">
        <f>C5*D5</f>
        <v>148200</v>
      </c>
      <c r="F5" s="20">
        <f>E5/$B$2</f>
        <v>370.5</v>
      </c>
    </row>
    <row r="6" spans="1:6" ht="15" customHeight="1">
      <c r="A6" s="17" t="s">
        <v>10</v>
      </c>
      <c r="B6" s="17" t="s">
        <v>11</v>
      </c>
      <c r="C6" s="19">
        <f>Prices!C5</f>
        <v>114</v>
      </c>
      <c r="D6" s="20">
        <f>B2*'Farm and Buffer Assumptions'!C5</f>
        <v>0</v>
      </c>
      <c r="E6" s="20">
        <f>C6*D6</f>
        <v>0</v>
      </c>
      <c r="F6" s="20">
        <f>E6/B2</f>
        <v>0</v>
      </c>
    </row>
    <row r="7" spans="1:6" ht="15" customHeight="1">
      <c r="A7" s="17" t="s">
        <v>12</v>
      </c>
      <c r="B7" s="17"/>
      <c r="C7" s="19"/>
      <c r="D7" s="20"/>
      <c r="E7" s="565">
        <v>0</v>
      </c>
      <c r="F7" s="20">
        <f>E7/$B$2</f>
        <v>0</v>
      </c>
    </row>
    <row r="8" spans="1:6" ht="15" customHeight="1">
      <c r="A8" s="17" t="s">
        <v>13</v>
      </c>
      <c r="B8" s="17"/>
      <c r="C8" s="19"/>
      <c r="D8" s="20"/>
      <c r="E8" s="565">
        <v>0</v>
      </c>
      <c r="F8" s="20">
        <f>E8/$B$2</f>
        <v>0</v>
      </c>
    </row>
    <row r="9" spans="1:6" ht="15" customHeight="1">
      <c r="A9" s="17" t="s">
        <v>281</v>
      </c>
      <c r="B9" s="210" t="s">
        <v>66</v>
      </c>
      <c r="C9" s="19"/>
      <c r="D9" s="211">
        <f>'Farm and Buffer Assumptions'!C15</f>
        <v>0</v>
      </c>
      <c r="E9" s="565">
        <f>-D9*E5</f>
        <v>0</v>
      </c>
      <c r="F9" s="20">
        <f>-D9*F5</f>
        <v>0</v>
      </c>
    </row>
    <row r="10" spans="1:9" ht="20.25" customHeight="1">
      <c r="A10" s="520" t="s">
        <v>14</v>
      </c>
      <c r="B10" s="520"/>
      <c r="C10" s="521"/>
      <c r="D10" s="521"/>
      <c r="E10" s="521">
        <f>SUM(E5:E9)</f>
        <v>148200</v>
      </c>
      <c r="F10" s="521">
        <f>SUM(F5:F9)</f>
        <v>370.5</v>
      </c>
      <c r="H10" s="339">
        <f>E10/B2</f>
        <v>370.5</v>
      </c>
      <c r="I10" t="s">
        <v>364</v>
      </c>
    </row>
    <row r="11" spans="1:6" ht="17.25" customHeight="1" thickBot="1">
      <c r="A11" s="21"/>
      <c r="B11" s="21"/>
      <c r="C11" s="22"/>
      <c r="D11" s="23"/>
      <c r="E11" s="24"/>
      <c r="F11" s="24"/>
    </row>
    <row r="12" spans="1:6" ht="23.25" customHeight="1" thickBot="1">
      <c r="A12" s="2"/>
      <c r="B12" s="43" t="s">
        <v>2</v>
      </c>
      <c r="C12" s="44" t="s">
        <v>3</v>
      </c>
      <c r="D12" s="44" t="s">
        <v>4</v>
      </c>
      <c r="E12" s="255" t="s">
        <v>5</v>
      </c>
      <c r="F12" s="255" t="s">
        <v>6</v>
      </c>
    </row>
    <row r="13" spans="1:6" ht="24.75" customHeight="1">
      <c r="A13" s="12" t="s">
        <v>15</v>
      </c>
      <c r="B13" s="13"/>
      <c r="C13" s="14"/>
      <c r="D13" s="141"/>
      <c r="E13" s="16"/>
      <c r="F13" s="14"/>
    </row>
    <row r="14" spans="1:6" ht="15" customHeight="1">
      <c r="A14" s="25" t="s">
        <v>18</v>
      </c>
      <c r="B14" s="17"/>
      <c r="C14" s="19"/>
      <c r="D14" s="20"/>
      <c r="E14" s="228" t="s">
        <v>288</v>
      </c>
      <c r="F14" s="228" t="s">
        <v>288</v>
      </c>
    </row>
    <row r="15" spans="1:6" ht="15" customHeight="1">
      <c r="A15" s="17" t="s">
        <v>19</v>
      </c>
      <c r="B15" s="17" t="s">
        <v>20</v>
      </c>
      <c r="C15" s="26">
        <f>Prices!C12</f>
        <v>0.16</v>
      </c>
      <c r="D15" s="20">
        <f>'Farm and Buffer Assumptions'!C8</f>
        <v>0</v>
      </c>
      <c r="E15" s="20">
        <f>F15*$B$2</f>
        <v>0</v>
      </c>
      <c r="F15" s="20">
        <f>C15*D15</f>
        <v>0</v>
      </c>
    </row>
    <row r="16" spans="1:6" ht="15" customHeight="1">
      <c r="A16" s="17" t="s">
        <v>21</v>
      </c>
      <c r="B16" s="17" t="s">
        <v>20</v>
      </c>
      <c r="C16" s="26">
        <f>Prices!C13</f>
        <v>0.2</v>
      </c>
      <c r="D16" s="20">
        <f>'Farm and Buffer Assumptions'!C9</f>
        <v>0</v>
      </c>
      <c r="E16" s="20">
        <f aca="true" t="shared" si="0" ref="E16:E22">F16*$B$2</f>
        <v>0</v>
      </c>
      <c r="F16" s="20">
        <f aca="true" t="shared" si="1" ref="F16:F22">C16*D16</f>
        <v>0</v>
      </c>
    </row>
    <row r="17" spans="1:6" ht="15" customHeight="1">
      <c r="A17" s="17" t="s">
        <v>22</v>
      </c>
      <c r="B17" s="17" t="s">
        <v>20</v>
      </c>
      <c r="C17" s="26">
        <f>Prices!C14</f>
        <v>0.16</v>
      </c>
      <c r="D17" s="20">
        <f>'Farm and Buffer Assumptions'!C10</f>
        <v>0</v>
      </c>
      <c r="E17" s="20">
        <f t="shared" si="0"/>
        <v>0</v>
      </c>
      <c r="F17" s="20">
        <f t="shared" si="1"/>
        <v>0</v>
      </c>
    </row>
    <row r="18" spans="1:6" ht="15" customHeight="1">
      <c r="A18" s="17" t="s">
        <v>23</v>
      </c>
      <c r="B18" s="17" t="s">
        <v>20</v>
      </c>
      <c r="C18" s="26">
        <f>Prices!C15</f>
        <v>0.22</v>
      </c>
      <c r="D18" s="20">
        <f>'Farm and Buffer Assumptions'!C11</f>
        <v>0</v>
      </c>
      <c r="E18" s="20">
        <f t="shared" si="0"/>
        <v>0</v>
      </c>
      <c r="F18" s="20">
        <f t="shared" si="1"/>
        <v>0</v>
      </c>
    </row>
    <row r="19" spans="1:6" ht="15" customHeight="1">
      <c r="A19" s="17" t="s">
        <v>24</v>
      </c>
      <c r="B19" s="17" t="s">
        <v>9</v>
      </c>
      <c r="C19" s="18">
        <f>Prices!C16</f>
        <v>0</v>
      </c>
      <c r="D19" s="20">
        <f>'Farm and Buffer Assumptions'!C12</f>
        <v>0</v>
      </c>
      <c r="E19" s="20">
        <f t="shared" si="0"/>
        <v>0</v>
      </c>
      <c r="F19" s="20">
        <f t="shared" si="1"/>
        <v>0</v>
      </c>
    </row>
    <row r="20" spans="1:6" ht="15" customHeight="1">
      <c r="A20" s="17" t="s">
        <v>25</v>
      </c>
      <c r="B20" s="17" t="s">
        <v>9</v>
      </c>
      <c r="C20" s="18">
        <f>Prices!C17</f>
        <v>0</v>
      </c>
      <c r="D20" s="20">
        <f>'Farm and Buffer Assumptions'!C13</f>
        <v>0</v>
      </c>
      <c r="E20" s="20">
        <f t="shared" si="0"/>
        <v>0</v>
      </c>
      <c r="F20" s="20">
        <f t="shared" si="1"/>
        <v>0</v>
      </c>
    </row>
    <row r="21" spans="1:6" ht="15" customHeight="1">
      <c r="A21" s="17" t="s">
        <v>47</v>
      </c>
      <c r="B21" s="617"/>
      <c r="C21" s="566">
        <v>0</v>
      </c>
      <c r="D21" s="565">
        <v>0</v>
      </c>
      <c r="E21" s="20">
        <f t="shared" si="0"/>
        <v>0</v>
      </c>
      <c r="F21" s="20">
        <f t="shared" si="1"/>
        <v>0</v>
      </c>
    </row>
    <row r="22" spans="1:6" ht="15" customHeight="1">
      <c r="A22" s="17" t="s">
        <v>47</v>
      </c>
      <c r="B22" s="617"/>
      <c r="C22" s="566">
        <v>0</v>
      </c>
      <c r="D22" s="565">
        <v>0</v>
      </c>
      <c r="E22" s="20">
        <f t="shared" si="0"/>
        <v>0</v>
      </c>
      <c r="F22" s="20">
        <f t="shared" si="1"/>
        <v>0</v>
      </c>
    </row>
    <row r="23" spans="1:6" ht="15" customHeight="1">
      <c r="A23" s="772" t="s">
        <v>26</v>
      </c>
      <c r="B23" s="772"/>
      <c r="C23" s="773"/>
      <c r="D23" s="773"/>
      <c r="E23" s="773">
        <f>SUM(E14:E20)</f>
        <v>0</v>
      </c>
      <c r="F23" s="773">
        <f>SUM(F14:F20)</f>
        <v>0</v>
      </c>
    </row>
    <row r="24" spans="1:8" s="78" customFormat="1" ht="15" customHeight="1">
      <c r="A24" s="76" t="s">
        <v>196</v>
      </c>
      <c r="B24" s="76" t="s">
        <v>17</v>
      </c>
      <c r="C24" s="87">
        <f>Prices!C10</f>
        <v>25</v>
      </c>
      <c r="D24" s="28">
        <f>B2*'Farm and Buffer Assumptions'!C6</f>
        <v>2000</v>
      </c>
      <c r="E24" s="28">
        <f>C24*D24</f>
        <v>50000</v>
      </c>
      <c r="F24" s="28">
        <f>E24/$B$2</f>
        <v>125</v>
      </c>
      <c r="H24" s="596"/>
    </row>
    <row r="25" spans="1:7" ht="15" customHeight="1">
      <c r="A25" s="25" t="s">
        <v>205</v>
      </c>
      <c r="B25" s="17"/>
      <c r="C25" s="19"/>
      <c r="D25" s="20"/>
      <c r="E25" s="228" t="s">
        <v>288</v>
      </c>
      <c r="F25" s="228" t="s">
        <v>288</v>
      </c>
      <c r="G25" s="27"/>
    </row>
    <row r="26" spans="1:7" ht="15" customHeight="1">
      <c r="A26" s="17" t="s">
        <v>27</v>
      </c>
      <c r="B26" s="17"/>
      <c r="C26" s="19"/>
      <c r="D26" s="20"/>
      <c r="E26" s="20">
        <f>F26*$B$2</f>
        <v>2400</v>
      </c>
      <c r="F26" s="564">
        <v>6</v>
      </c>
      <c r="G26" s="27"/>
    </row>
    <row r="27" spans="1:7" ht="15" customHeight="1">
      <c r="A27" s="17" t="s">
        <v>28</v>
      </c>
      <c r="B27" s="17"/>
      <c r="C27" s="19"/>
      <c r="D27" s="20"/>
      <c r="E27" s="20">
        <f>F27*$B$2</f>
        <v>4800</v>
      </c>
      <c r="F27" s="564">
        <v>12</v>
      </c>
      <c r="G27" s="27"/>
    </row>
    <row r="28" spans="1:7" ht="15" customHeight="1">
      <c r="A28" s="25" t="s">
        <v>239</v>
      </c>
      <c r="B28" s="17"/>
      <c r="C28" s="19"/>
      <c r="D28" s="20"/>
      <c r="E28" s="20">
        <f>'Equipment and Investment'!B121</f>
        <v>31699.163727499996</v>
      </c>
      <c r="F28" s="28">
        <f>E28/$B$2</f>
        <v>79.24790931874999</v>
      </c>
      <c r="G28" s="27"/>
    </row>
    <row r="29" spans="1:7" ht="15" customHeight="1">
      <c r="A29" s="25" t="s">
        <v>240</v>
      </c>
      <c r="B29" s="17"/>
      <c r="C29" s="19"/>
      <c r="D29" s="20"/>
      <c r="E29" s="20">
        <f>F29*$B$2</f>
        <v>12334.6125</v>
      </c>
      <c r="F29" s="28">
        <f>'Equipment and Investment'!G124</f>
        <v>30.836531249999997</v>
      </c>
      <c r="G29" s="27"/>
    </row>
    <row r="30" spans="1:6" ht="15" customHeight="1">
      <c r="A30" s="25" t="s">
        <v>195</v>
      </c>
      <c r="B30" s="17"/>
      <c r="C30" s="18"/>
      <c r="D30" s="20"/>
      <c r="E30" s="228" t="s">
        <v>288</v>
      </c>
      <c r="F30" s="228" t="s">
        <v>288</v>
      </c>
    </row>
    <row r="31" spans="1:6" ht="15" customHeight="1">
      <c r="A31" s="55" t="s">
        <v>241</v>
      </c>
      <c r="B31" s="55" t="s">
        <v>204</v>
      </c>
      <c r="C31" s="146">
        <f>Prices!C11</f>
        <v>30</v>
      </c>
      <c r="D31" s="567">
        <v>2</v>
      </c>
      <c r="E31" s="20">
        <f>D31*C31</f>
        <v>60</v>
      </c>
      <c r="F31" s="205">
        <f>E31/$B$2</f>
        <v>0.15</v>
      </c>
    </row>
    <row r="32" spans="1:6" ht="15" customHeight="1">
      <c r="A32" s="17" t="s">
        <v>242</v>
      </c>
      <c r="B32" s="17"/>
      <c r="C32" s="19"/>
      <c r="D32" s="20"/>
      <c r="E32" s="565">
        <v>0</v>
      </c>
      <c r="F32" s="28">
        <f>E32*B2</f>
        <v>0</v>
      </c>
    </row>
    <row r="33" spans="1:6" ht="15" customHeight="1">
      <c r="A33" s="17" t="s">
        <v>193</v>
      </c>
      <c r="B33" s="17"/>
      <c r="C33" s="18"/>
      <c r="D33" s="20"/>
      <c r="E33" s="20">
        <f>F33*$B$2</f>
        <v>4000</v>
      </c>
      <c r="F33" s="566">
        <v>10</v>
      </c>
    </row>
    <row r="34" spans="1:6" ht="15" customHeight="1">
      <c r="A34" s="17" t="s">
        <v>194</v>
      </c>
      <c r="B34" s="17"/>
      <c r="C34" s="18"/>
      <c r="D34" s="20"/>
      <c r="E34" s="20">
        <f>F34*$B$2</f>
        <v>200</v>
      </c>
      <c r="F34" s="566">
        <v>0.5</v>
      </c>
    </row>
    <row r="35" spans="1:6" ht="26.25" customHeight="1">
      <c r="A35" s="25" t="s">
        <v>29</v>
      </c>
      <c r="B35" s="17"/>
      <c r="C35" s="19"/>
      <c r="D35" s="20"/>
      <c r="E35" s="565">
        <v>0</v>
      </c>
      <c r="F35" s="28">
        <f>E35/B2</f>
        <v>0</v>
      </c>
    </row>
    <row r="36" spans="1:6" ht="15" customHeight="1">
      <c r="A36" s="17" t="s">
        <v>31</v>
      </c>
      <c r="B36" s="17"/>
      <c r="C36" s="19"/>
      <c r="D36" s="20"/>
      <c r="E36" s="20">
        <f>F36*$B$2</f>
        <v>0</v>
      </c>
      <c r="F36" s="565">
        <v>0</v>
      </c>
    </row>
    <row r="37" spans="1:9" ht="15" customHeight="1">
      <c r="A37" s="17" t="s">
        <v>31</v>
      </c>
      <c r="B37" s="17"/>
      <c r="C37" s="19"/>
      <c r="D37" s="20"/>
      <c r="E37" s="20">
        <f>F37*$B$2</f>
        <v>0</v>
      </c>
      <c r="F37" s="565">
        <v>0</v>
      </c>
      <c r="I37" s="29"/>
    </row>
    <row r="38" spans="1:9" ht="15" customHeight="1">
      <c r="A38" s="25" t="s">
        <v>30</v>
      </c>
      <c r="B38" s="17"/>
      <c r="C38" s="19"/>
      <c r="D38" s="20"/>
      <c r="E38" s="20">
        <f>SUM(E23:E37)/2*'Farm and Buffer Assumptions'!C24/2</f>
        <v>1318.67220284375</v>
      </c>
      <c r="F38" s="20">
        <f>E38/$B$2</f>
        <v>3.296680507109375</v>
      </c>
      <c r="I38" s="29"/>
    </row>
    <row r="39" spans="1:9" ht="25.5" customHeight="1">
      <c r="A39" s="206" t="s">
        <v>32</v>
      </c>
      <c r="B39" s="206"/>
      <c r="C39" s="207"/>
      <c r="D39" s="207"/>
      <c r="E39" s="207">
        <f>SUM(E23:E38)</f>
        <v>106812.44843034375</v>
      </c>
      <c r="F39" s="207">
        <f>SUM(F23:F38)</f>
        <v>267.03112107585935</v>
      </c>
      <c r="G39" s="176">
        <f>F39/F53</f>
        <v>0.7151864810751222</v>
      </c>
      <c r="H39" s="339">
        <f>E39/B2</f>
        <v>267.03112107585935</v>
      </c>
      <c r="I39" t="s">
        <v>364</v>
      </c>
    </row>
    <row r="40" spans="1:7" ht="18" customHeight="1">
      <c r="A40" s="2"/>
      <c r="B40" s="2"/>
      <c r="C40" s="3"/>
      <c r="D40" s="4"/>
      <c r="E40" s="10"/>
      <c r="F40" s="11"/>
      <c r="G40" s="176"/>
    </row>
    <row r="41" spans="1:7" ht="18" customHeight="1">
      <c r="A41" s="12" t="s">
        <v>206</v>
      </c>
      <c r="B41" s="13"/>
      <c r="C41" s="14"/>
      <c r="D41" s="15"/>
      <c r="E41" s="16"/>
      <c r="F41" s="14"/>
      <c r="G41" s="176"/>
    </row>
    <row r="42" spans="1:7" ht="15" customHeight="1">
      <c r="A42" s="17" t="s">
        <v>33</v>
      </c>
      <c r="B42" s="17"/>
      <c r="C42" s="19"/>
      <c r="D42" s="19"/>
      <c r="E42" s="20">
        <f>'Equipment and Investment'!N63</f>
        <v>2921.722391046251</v>
      </c>
      <c r="F42" s="20">
        <f>E42/B2</f>
        <v>7.304305977615627</v>
      </c>
      <c r="G42" s="176"/>
    </row>
    <row r="43" spans="1:7" ht="15" customHeight="1">
      <c r="A43" s="17" t="s">
        <v>35</v>
      </c>
      <c r="B43" s="17"/>
      <c r="C43" s="19"/>
      <c r="D43" s="19"/>
      <c r="E43" s="20">
        <f>'Equipment and Investment'!L63</f>
        <v>1697.63874</v>
      </c>
      <c r="F43" s="20">
        <f>E43/B2</f>
        <v>4.24409685</v>
      </c>
      <c r="G43" s="176"/>
    </row>
    <row r="44" spans="1:7" ht="15" customHeight="1">
      <c r="A44" s="17" t="s">
        <v>34</v>
      </c>
      <c r="B44" s="17"/>
      <c r="C44" s="19"/>
      <c r="D44" s="19"/>
      <c r="E44" s="565">
        <v>0</v>
      </c>
      <c r="F44" s="20">
        <f>E44/B2</f>
        <v>0</v>
      </c>
      <c r="G44" s="176"/>
    </row>
    <row r="45" spans="1:7" ht="15" customHeight="1">
      <c r="A45" s="17" t="s">
        <v>31</v>
      </c>
      <c r="B45" s="17"/>
      <c r="C45" s="19"/>
      <c r="D45" s="19"/>
      <c r="E45" s="565">
        <v>0</v>
      </c>
      <c r="F45" s="20">
        <f>E45/B2</f>
        <v>0</v>
      </c>
      <c r="G45" s="176"/>
    </row>
    <row r="46" spans="1:7" ht="15" customHeight="1">
      <c r="A46" s="17" t="s">
        <v>31</v>
      </c>
      <c r="B46" s="17"/>
      <c r="C46" s="19"/>
      <c r="D46" s="19"/>
      <c r="E46" s="565">
        <v>0</v>
      </c>
      <c r="F46" s="20">
        <f>E46/B2</f>
        <v>0</v>
      </c>
      <c r="G46" s="176"/>
    </row>
    <row r="47" spans="1:8" s="151" customFormat="1" ht="19.5" customHeight="1">
      <c r="A47" s="147" t="s">
        <v>207</v>
      </c>
      <c r="B47" s="148"/>
      <c r="C47" s="149"/>
      <c r="D47" s="150"/>
      <c r="E47" s="149"/>
      <c r="F47" s="149"/>
      <c r="G47" s="212"/>
      <c r="H47" s="597"/>
    </row>
    <row r="48" spans="1:7" ht="16.5" customHeight="1">
      <c r="A48" s="17" t="s">
        <v>619</v>
      </c>
      <c r="B48" s="17"/>
      <c r="C48" s="19"/>
      <c r="D48" s="19"/>
      <c r="E48" s="20">
        <f>'Equipment and Investment'!K63</f>
        <v>37300.56253616582</v>
      </c>
      <c r="F48" s="20">
        <f>E48/B2</f>
        <v>93.25140634041455</v>
      </c>
      <c r="G48" s="176"/>
    </row>
    <row r="49" spans="1:7" ht="15" customHeight="1">
      <c r="A49" s="17" t="s">
        <v>609</v>
      </c>
      <c r="B49" s="17"/>
      <c r="C49" s="19"/>
      <c r="D49" s="19"/>
      <c r="E49" s="20">
        <f>'Equipment and Investment'!M63</f>
        <v>616.7155275</v>
      </c>
      <c r="F49" s="20">
        <f>E49/B2</f>
        <v>1.54178881875</v>
      </c>
      <c r="G49" s="176"/>
    </row>
    <row r="50" spans="1:7" ht="15" customHeight="1">
      <c r="A50" s="17" t="s">
        <v>208</v>
      </c>
      <c r="B50" s="17"/>
      <c r="C50" s="19"/>
      <c r="D50" s="19"/>
      <c r="E50" s="20">
        <f>F50*$B$2</f>
        <v>0</v>
      </c>
      <c r="F50" s="565">
        <v>0</v>
      </c>
      <c r="G50" s="176"/>
    </row>
    <row r="51" spans="1:7" ht="15" customHeight="1">
      <c r="A51" s="17" t="s">
        <v>31</v>
      </c>
      <c r="B51" s="17"/>
      <c r="C51" s="19"/>
      <c r="D51" s="19"/>
      <c r="E51" s="20">
        <f>F51*$B$2</f>
        <v>0</v>
      </c>
      <c r="F51" s="565">
        <v>0</v>
      </c>
      <c r="G51" s="176"/>
    </row>
    <row r="52" spans="1:9" ht="18" customHeight="1">
      <c r="A52" s="206" t="s">
        <v>36</v>
      </c>
      <c r="B52" s="206"/>
      <c r="C52" s="207"/>
      <c r="D52" s="207"/>
      <c r="E52" s="207">
        <f>SUM(E42:E51)</f>
        <v>42536.639194712065</v>
      </c>
      <c r="F52" s="207">
        <f>SUM(F42:F51)</f>
        <v>106.34159798678019</v>
      </c>
      <c r="G52" s="176">
        <f>F52/F53</f>
        <v>0.28481351892487783</v>
      </c>
      <c r="H52" s="29">
        <f>E52/B2</f>
        <v>106.34159798678016</v>
      </c>
      <c r="I52" t="s">
        <v>364</v>
      </c>
    </row>
    <row r="53" spans="1:9" ht="26.25" customHeight="1">
      <c r="A53" s="241" t="s">
        <v>37</v>
      </c>
      <c r="B53" s="237"/>
      <c r="C53" s="601"/>
      <c r="D53" s="602"/>
      <c r="E53" s="603">
        <f>SUM(E52+E39)</f>
        <v>149349.0876250558</v>
      </c>
      <c r="F53" s="604">
        <f>F52+F39</f>
        <v>373.37271906263953</v>
      </c>
      <c r="I53" s="29"/>
    </row>
    <row r="54" spans="1:9" ht="25.5" customHeight="1">
      <c r="A54" s="524" t="s">
        <v>283</v>
      </c>
      <c r="B54" s="215"/>
      <c r="C54" s="216"/>
      <c r="D54" s="217"/>
      <c r="E54" s="217">
        <f>E10-E53</f>
        <v>-1149.0876250558067</v>
      </c>
      <c r="F54" s="217">
        <f>F10-F53</f>
        <v>-2.8727190626395327</v>
      </c>
      <c r="H54" s="339">
        <f>E54/B2</f>
        <v>-2.8727190626395167</v>
      </c>
      <c r="I54" s="29" t="s">
        <v>364</v>
      </c>
    </row>
    <row r="55" spans="1:6" ht="15" customHeight="1">
      <c r="A55" s="30" t="s">
        <v>38</v>
      </c>
      <c r="B55" s="30"/>
      <c r="C55" s="31"/>
      <c r="D55" s="31"/>
      <c r="E55" s="32">
        <f>E10*'Farm and Buffer Assumptions'!C14</f>
        <v>10374.000000000002</v>
      </c>
      <c r="F55" s="32">
        <f>E55/B2</f>
        <v>25.935000000000006</v>
      </c>
    </row>
    <row r="56" spans="1:6" ht="15" customHeight="1" thickBot="1">
      <c r="A56" s="17" t="s">
        <v>284</v>
      </c>
      <c r="B56" s="17"/>
      <c r="C56" s="19"/>
      <c r="D56" s="19"/>
      <c r="E56" s="20">
        <f>Prices!C24*'Farm and Buffer Assumptions'!C21</f>
        <v>23000</v>
      </c>
      <c r="F56" s="20">
        <f>E56/B2</f>
        <v>57.5</v>
      </c>
    </row>
    <row r="57" spans="1:9" ht="22.5" customHeight="1" thickBot="1">
      <c r="A57" s="598" t="s">
        <v>39</v>
      </c>
      <c r="B57" s="598"/>
      <c r="C57" s="599"/>
      <c r="D57" s="599"/>
      <c r="E57" s="600">
        <f>SUM(E55:E56)+E53</f>
        <v>182723.0876250558</v>
      </c>
      <c r="F57" s="600">
        <f>SUM(F55:F56)+F53</f>
        <v>456.80771906263953</v>
      </c>
      <c r="H57" s="339">
        <f>E57/B2</f>
        <v>456.80771906263953</v>
      </c>
      <c r="I57" t="s">
        <v>364</v>
      </c>
    </row>
    <row r="58" spans="1:9" ht="23.25" customHeight="1" thickTop="1">
      <c r="A58" s="36" t="s">
        <v>40</v>
      </c>
      <c r="B58" s="36"/>
      <c r="C58" s="37"/>
      <c r="D58" s="38"/>
      <c r="E58" s="38">
        <f>E10-E57</f>
        <v>-34523.08762505581</v>
      </c>
      <c r="F58" s="38">
        <f>F10-F57</f>
        <v>-86.30771906263953</v>
      </c>
      <c r="H58" s="339">
        <f>E58/B2</f>
        <v>-86.30771906263952</v>
      </c>
      <c r="I58" t="s">
        <v>364</v>
      </c>
    </row>
    <row r="59" spans="1:6" ht="12.75">
      <c r="A59" s="2"/>
      <c r="B59" s="2"/>
      <c r="C59" s="3"/>
      <c r="D59" s="4"/>
      <c r="E59" s="4"/>
      <c r="F59" s="3"/>
    </row>
    <row r="60" spans="1:6" ht="12.75">
      <c r="A60" s="39" t="s">
        <v>192</v>
      </c>
      <c r="B60" s="2"/>
      <c r="C60" s="3"/>
      <c r="D60" s="4"/>
      <c r="E60" s="4"/>
      <c r="F60" s="3"/>
    </row>
    <row r="61" spans="2:9" ht="12.75">
      <c r="B61" s="2"/>
      <c r="C61" s="3"/>
      <c r="D61" s="4"/>
      <c r="E61" s="4"/>
      <c r="F61" s="3"/>
      <c r="I61" s="213"/>
    </row>
    <row r="62" spans="1:6" ht="12.75">
      <c r="A62" s="40"/>
      <c r="B62" s="2"/>
      <c r="C62" s="3"/>
      <c r="D62" s="4"/>
      <c r="E62" s="4"/>
      <c r="F62" s="3"/>
    </row>
    <row r="63" spans="1:6" ht="12.75">
      <c r="A63" s="41"/>
      <c r="B63" s="2"/>
      <c r="C63" s="3"/>
      <c r="D63" s="4"/>
      <c r="E63" s="4"/>
      <c r="F63" s="3"/>
    </row>
    <row r="64" ht="12.75"/>
    <row r="65" ht="12.75"/>
    <row r="66" ht="12.75"/>
    <row r="67" ht="12.75"/>
  </sheetData>
  <mergeCells count="1">
    <mergeCell ref="A1:F1"/>
  </mergeCells>
  <printOptions/>
  <pageMargins left="0.5" right="0.5" top="1" bottom="0.8" header="0.25" footer="0.45"/>
  <pageSetup orientation="portrait" scale="92" r:id="rId3"/>
  <headerFooter alignWithMargins="0">
    <oddHeader>&amp;L&amp;8File Name: &amp;F, Sheet Name: &amp;A&amp;R&amp;8&amp;D,&amp;T</oddHeader>
    <oddFooter>&amp;L&amp;8Prepared by:
Resource Consulting</oddFooter>
  </headerFooter>
  <rowBreaks count="1" manualBreakCount="1">
    <brk id="40" max="5" man="1"/>
  </rowBreaks>
  <legacyDrawing r:id="rId2"/>
</worksheet>
</file>

<file path=xl/worksheets/sheet7.xml><?xml version="1.0" encoding="utf-8"?>
<worksheet xmlns="http://schemas.openxmlformats.org/spreadsheetml/2006/main" xmlns:r="http://schemas.openxmlformats.org/officeDocument/2006/relationships">
  <dimension ref="A1:G164"/>
  <sheetViews>
    <sheetView workbookViewId="0" topLeftCell="A1">
      <selection activeCell="A1" sqref="A1"/>
    </sheetView>
  </sheetViews>
  <sheetFormatPr defaultColWidth="9.140625" defaultRowHeight="12.75"/>
  <cols>
    <col min="1" max="1" width="58.421875" style="0" customWidth="1"/>
    <col min="2" max="2" width="14.00390625" style="0" customWidth="1"/>
    <col min="3" max="3" width="14.140625" style="0" customWidth="1"/>
    <col min="4" max="4" width="15.8515625" style="0" customWidth="1"/>
  </cols>
  <sheetData>
    <row r="1" spans="1:3" ht="42" customHeight="1" thickBot="1">
      <c r="A1" s="558" t="s">
        <v>292</v>
      </c>
      <c r="B1" s="559"/>
      <c r="C1" s="560"/>
    </row>
    <row r="2" spans="1:3" ht="12.75">
      <c r="A2" s="810" t="s">
        <v>590</v>
      </c>
      <c r="B2" s="809"/>
      <c r="C2" s="809"/>
    </row>
    <row r="3" spans="1:3" ht="43.5" customHeight="1">
      <c r="A3" s="809"/>
      <c r="B3" s="809"/>
      <c r="C3" s="809"/>
    </row>
    <row r="4" spans="1:3" ht="15" customHeight="1">
      <c r="A4" s="2"/>
      <c r="B4" s="238" t="s">
        <v>2</v>
      </c>
      <c r="C4" s="238" t="s">
        <v>293</v>
      </c>
    </row>
    <row r="5" spans="1:3" ht="15" customHeight="1">
      <c r="A5" s="133" t="s">
        <v>294</v>
      </c>
      <c r="B5" s="134" t="s">
        <v>295</v>
      </c>
      <c r="C5" s="555">
        <f>10900*0.5</f>
        <v>5450</v>
      </c>
    </row>
    <row r="6" spans="1:3" ht="15" customHeight="1">
      <c r="A6" s="133" t="s">
        <v>296</v>
      </c>
      <c r="B6" s="134" t="s">
        <v>295</v>
      </c>
      <c r="C6" s="555">
        <v>0</v>
      </c>
    </row>
    <row r="7" spans="1:3" ht="15" customHeight="1">
      <c r="A7" s="133" t="s">
        <v>297</v>
      </c>
      <c r="B7" s="134" t="s">
        <v>295</v>
      </c>
      <c r="C7" s="555">
        <v>2300</v>
      </c>
    </row>
    <row r="8" spans="1:3" ht="15" customHeight="1">
      <c r="A8" s="133" t="s">
        <v>298</v>
      </c>
      <c r="B8" s="134" t="s">
        <v>295</v>
      </c>
      <c r="C8" s="555">
        <v>0</v>
      </c>
    </row>
    <row r="9" spans="1:3" ht="15" customHeight="1">
      <c r="A9" s="133" t="s">
        <v>299</v>
      </c>
      <c r="B9" s="134" t="s">
        <v>295</v>
      </c>
      <c r="C9" s="555">
        <v>0</v>
      </c>
    </row>
    <row r="10" spans="1:3" ht="15" customHeight="1">
      <c r="A10" s="133" t="s">
        <v>300</v>
      </c>
      <c r="B10" s="134" t="s">
        <v>295</v>
      </c>
      <c r="C10" s="555">
        <v>0</v>
      </c>
    </row>
    <row r="11" spans="1:5" ht="15" customHeight="1">
      <c r="A11" s="21" t="s">
        <v>5</v>
      </c>
      <c r="B11" s="239"/>
      <c r="C11" s="240">
        <f>SUM(C5:C10)</f>
        <v>7750</v>
      </c>
      <c r="E11" s="239"/>
    </row>
    <row r="12" spans="1:5" ht="15" customHeight="1">
      <c r="A12" s="21"/>
      <c r="B12" s="239"/>
      <c r="C12" s="240"/>
      <c r="E12" s="239"/>
    </row>
    <row r="13" spans="1:5" ht="15" customHeight="1">
      <c r="A13" s="241" t="s">
        <v>328</v>
      </c>
      <c r="B13" s="239"/>
      <c r="C13" s="240"/>
      <c r="E13" s="239"/>
    </row>
    <row r="14" spans="1:5" ht="15" customHeight="1">
      <c r="A14" s="21"/>
      <c r="B14" s="238" t="s">
        <v>2</v>
      </c>
      <c r="C14" s="238" t="s">
        <v>293</v>
      </c>
      <c r="E14" s="239"/>
    </row>
    <row r="15" spans="1:5" ht="15" customHeight="1">
      <c r="A15" s="21"/>
      <c r="B15" s="139" t="s">
        <v>295</v>
      </c>
      <c r="C15" s="555">
        <v>0</v>
      </c>
      <c r="E15" s="239"/>
    </row>
    <row r="16" spans="1:5" ht="15" customHeight="1">
      <c r="A16" s="50" t="s">
        <v>301</v>
      </c>
      <c r="B16" s="139" t="s">
        <v>295</v>
      </c>
      <c r="C16" s="242">
        <f>Prices!C21</f>
        <v>2</v>
      </c>
      <c r="E16" s="239"/>
    </row>
    <row r="17" spans="1:5" ht="15" customHeight="1">
      <c r="A17" s="21"/>
      <c r="B17" s="57"/>
      <c r="C17" s="243"/>
      <c r="E17" s="239"/>
    </row>
    <row r="18" ht="15" customHeight="1">
      <c r="A18" s="241" t="s">
        <v>302</v>
      </c>
    </row>
    <row r="19" spans="1:3" ht="15" customHeight="1">
      <c r="A19" s="137" t="s">
        <v>303</v>
      </c>
      <c r="B19" s="238" t="s">
        <v>304</v>
      </c>
      <c r="C19" s="238" t="s">
        <v>191</v>
      </c>
    </row>
    <row r="20" spans="1:3" ht="15" customHeight="1">
      <c r="A20" s="139" t="s">
        <v>305</v>
      </c>
      <c r="B20" s="556">
        <v>0</v>
      </c>
      <c r="C20" s="244">
        <f>(C5*B20)/43560</f>
        <v>0</v>
      </c>
    </row>
    <row r="21" spans="1:3" ht="15" customHeight="1">
      <c r="A21" s="134" t="s">
        <v>306</v>
      </c>
      <c r="B21" s="556">
        <v>0</v>
      </c>
      <c r="C21" s="244">
        <f>(C5*B21)/43560</f>
        <v>0</v>
      </c>
    </row>
    <row r="22" spans="1:3" ht="15" customHeight="1">
      <c r="A22" s="134" t="s">
        <v>307</v>
      </c>
      <c r="B22" s="556">
        <v>0</v>
      </c>
      <c r="C22" s="244">
        <f>(C5*B22)/43560</f>
        <v>0</v>
      </c>
    </row>
    <row r="23" spans="1:3" ht="15" customHeight="1">
      <c r="A23" s="134" t="s">
        <v>308</v>
      </c>
      <c r="B23" s="556">
        <v>0</v>
      </c>
      <c r="C23" s="244">
        <f>(C5*B23)/43560</f>
        <v>0</v>
      </c>
    </row>
    <row r="24" spans="1:3" ht="15" customHeight="1">
      <c r="A24" s="134" t="s">
        <v>309</v>
      </c>
      <c r="B24" s="556">
        <v>0</v>
      </c>
      <c r="C24" s="244">
        <f>(C5*B24)/43560</f>
        <v>0</v>
      </c>
    </row>
    <row r="25" spans="1:3" ht="15" customHeight="1">
      <c r="A25" s="134" t="s">
        <v>310</v>
      </c>
      <c r="B25" s="556">
        <v>35</v>
      </c>
      <c r="C25" s="244">
        <f>(C5*B25)/43560</f>
        <v>4.379017447199265</v>
      </c>
    </row>
    <row r="26" spans="1:3" ht="15" customHeight="1">
      <c r="A26" s="134" t="s">
        <v>311</v>
      </c>
      <c r="B26" s="556">
        <v>0</v>
      </c>
      <c r="C26" s="244">
        <f>(C5*B26)/43560</f>
        <v>0</v>
      </c>
    </row>
    <row r="27" spans="1:3" ht="18.75" customHeight="1">
      <c r="A27" s="525" t="s">
        <v>312</v>
      </c>
      <c r="B27" s="525">
        <f>SUM(B20:B26)</f>
        <v>35</v>
      </c>
      <c r="C27" s="526">
        <f>SUM(C20:C26)</f>
        <v>4.379017447199265</v>
      </c>
    </row>
    <row r="28" ht="15" customHeight="1"/>
    <row r="29" ht="15" customHeight="1">
      <c r="A29" s="241" t="s">
        <v>313</v>
      </c>
    </row>
    <row r="30" spans="1:3" ht="15" customHeight="1">
      <c r="A30" s="137" t="s">
        <v>303</v>
      </c>
      <c r="B30" s="238" t="s">
        <v>304</v>
      </c>
      <c r="C30" s="238" t="s">
        <v>191</v>
      </c>
    </row>
    <row r="31" spans="1:3" ht="15" customHeight="1">
      <c r="A31" s="139" t="s">
        <v>305</v>
      </c>
      <c r="B31" s="556">
        <v>0</v>
      </c>
      <c r="C31" s="244">
        <f>(C6*B31)/43560</f>
        <v>0</v>
      </c>
    </row>
    <row r="32" spans="1:3" ht="15" customHeight="1">
      <c r="A32" s="134" t="s">
        <v>306</v>
      </c>
      <c r="B32" s="556">
        <v>0</v>
      </c>
      <c r="C32" s="244">
        <f>(C6*B32)/43560</f>
        <v>0</v>
      </c>
    </row>
    <row r="33" spans="1:3" ht="15" customHeight="1">
      <c r="A33" s="134" t="s">
        <v>307</v>
      </c>
      <c r="B33" s="556">
        <v>0</v>
      </c>
      <c r="C33" s="244">
        <f>(C6*B33)/43560</f>
        <v>0</v>
      </c>
    </row>
    <row r="34" spans="1:3" ht="15" customHeight="1">
      <c r="A34" s="134" t="s">
        <v>308</v>
      </c>
      <c r="B34" s="556">
        <v>0</v>
      </c>
      <c r="C34" s="244">
        <f>(C6*B34)/43560</f>
        <v>0</v>
      </c>
    </row>
    <row r="35" spans="1:3" ht="15" customHeight="1">
      <c r="A35" s="134" t="s">
        <v>309</v>
      </c>
      <c r="B35" s="556">
        <v>0</v>
      </c>
      <c r="C35" s="244">
        <f>(C6*B35)/43560</f>
        <v>0</v>
      </c>
    </row>
    <row r="36" spans="1:3" ht="15" customHeight="1">
      <c r="A36" s="134" t="s">
        <v>310</v>
      </c>
      <c r="B36" s="556">
        <v>0</v>
      </c>
      <c r="C36" s="244">
        <f>(C6*B36)/43560</f>
        <v>0</v>
      </c>
    </row>
    <row r="37" spans="1:3" ht="15" customHeight="1">
      <c r="A37" s="134" t="s">
        <v>311</v>
      </c>
      <c r="B37" s="556">
        <v>0</v>
      </c>
      <c r="C37" s="244">
        <f>(C6*B37)/43560</f>
        <v>0</v>
      </c>
    </row>
    <row r="38" spans="1:3" ht="18.75" customHeight="1">
      <c r="A38" s="525" t="s">
        <v>314</v>
      </c>
      <c r="B38" s="525">
        <f>SUM(B31:B37)</f>
        <v>0</v>
      </c>
      <c r="C38" s="526">
        <f>SUM(C31:C37)</f>
        <v>0</v>
      </c>
    </row>
    <row r="39" ht="15" customHeight="1"/>
    <row r="40" ht="15" customHeight="1">
      <c r="A40" s="241" t="s">
        <v>315</v>
      </c>
    </row>
    <row r="41" spans="1:3" ht="15" customHeight="1">
      <c r="A41" s="137" t="s">
        <v>303</v>
      </c>
      <c r="B41" s="238" t="s">
        <v>304</v>
      </c>
      <c r="C41" s="238" t="s">
        <v>191</v>
      </c>
    </row>
    <row r="42" spans="1:3" ht="15" customHeight="1">
      <c r="A42" s="139" t="s">
        <v>305</v>
      </c>
      <c r="B42" s="556">
        <v>0</v>
      </c>
      <c r="C42" s="244">
        <f>(C7*B42)/43560</f>
        <v>0</v>
      </c>
    </row>
    <row r="43" spans="1:3" ht="15" customHeight="1">
      <c r="A43" s="134" t="s">
        <v>306</v>
      </c>
      <c r="B43" s="556">
        <v>0</v>
      </c>
      <c r="C43" s="244">
        <f>(C7*B43)/43560</f>
        <v>0</v>
      </c>
    </row>
    <row r="44" spans="1:3" ht="15" customHeight="1">
      <c r="A44" s="134" t="s">
        <v>307</v>
      </c>
      <c r="B44" s="556">
        <v>0</v>
      </c>
      <c r="C44" s="244">
        <f>(C7*B44)/43560</f>
        <v>0</v>
      </c>
    </row>
    <row r="45" spans="1:3" ht="15" customHeight="1">
      <c r="A45" s="134" t="s">
        <v>308</v>
      </c>
      <c r="B45" s="556">
        <v>0</v>
      </c>
      <c r="C45" s="244">
        <f>(C7*B45)/43560</f>
        <v>0</v>
      </c>
    </row>
    <row r="46" spans="1:3" ht="15" customHeight="1">
      <c r="A46" s="134" t="s">
        <v>309</v>
      </c>
      <c r="B46" s="556">
        <v>0</v>
      </c>
      <c r="C46" s="244">
        <f>(C7*B46)/43560</f>
        <v>0</v>
      </c>
    </row>
    <row r="47" spans="1:3" ht="15" customHeight="1">
      <c r="A47" s="134" t="s">
        <v>310</v>
      </c>
      <c r="B47" s="556">
        <v>35</v>
      </c>
      <c r="C47" s="244">
        <f>(C7*B47)/43560</f>
        <v>1.8480257116620753</v>
      </c>
    </row>
    <row r="48" spans="1:3" ht="15" customHeight="1">
      <c r="A48" s="134" t="s">
        <v>311</v>
      </c>
      <c r="B48" s="556">
        <v>0</v>
      </c>
      <c r="C48" s="244">
        <f>(C7*B48)/43560</f>
        <v>0</v>
      </c>
    </row>
    <row r="49" spans="1:3" ht="18" customHeight="1">
      <c r="A49" s="525" t="s">
        <v>316</v>
      </c>
      <c r="B49" s="525">
        <f>SUM(B42:B48)</f>
        <v>35</v>
      </c>
      <c r="C49" s="526">
        <f>SUM(C42:C48)</f>
        <v>1.8480257116620753</v>
      </c>
    </row>
    <row r="50" ht="15" customHeight="1"/>
    <row r="51" ht="15" customHeight="1">
      <c r="A51" s="241" t="s">
        <v>317</v>
      </c>
    </row>
    <row r="52" spans="1:3" ht="15" customHeight="1">
      <c r="A52" s="137" t="s">
        <v>303</v>
      </c>
      <c r="B52" s="238" t="s">
        <v>304</v>
      </c>
      <c r="C52" s="238" t="s">
        <v>191</v>
      </c>
    </row>
    <row r="53" spans="1:3" ht="15" customHeight="1">
      <c r="A53" s="139" t="s">
        <v>305</v>
      </c>
      <c r="B53" s="556">
        <v>0</v>
      </c>
      <c r="C53" s="244">
        <f>(C8*B53)/43560</f>
        <v>0</v>
      </c>
    </row>
    <row r="54" spans="1:3" ht="15" customHeight="1">
      <c r="A54" s="134" t="s">
        <v>306</v>
      </c>
      <c r="B54" s="556">
        <v>0</v>
      </c>
      <c r="C54" s="244">
        <f>(C8*B54)/43560</f>
        <v>0</v>
      </c>
    </row>
    <row r="55" spans="1:3" ht="15" customHeight="1">
      <c r="A55" s="134" t="s">
        <v>307</v>
      </c>
      <c r="B55" s="556">
        <v>0</v>
      </c>
      <c r="C55" s="244">
        <f>(C8*B55)/43560</f>
        <v>0</v>
      </c>
    </row>
    <row r="56" spans="1:3" ht="15" customHeight="1">
      <c r="A56" s="134" t="s">
        <v>308</v>
      </c>
      <c r="B56" s="556">
        <v>0</v>
      </c>
      <c r="C56" s="244">
        <f>(C8*B56)/43560</f>
        <v>0</v>
      </c>
    </row>
    <row r="57" spans="1:3" ht="15" customHeight="1">
      <c r="A57" s="134" t="s">
        <v>309</v>
      </c>
      <c r="B57" s="556">
        <v>0</v>
      </c>
      <c r="C57" s="244">
        <f>(C8*B57)/43560</f>
        <v>0</v>
      </c>
    </row>
    <row r="58" spans="1:3" ht="15" customHeight="1">
      <c r="A58" s="134" t="s">
        <v>310</v>
      </c>
      <c r="B58" s="556">
        <v>0</v>
      </c>
      <c r="C58" s="244">
        <f>(C8*B58)/43560</f>
        <v>0</v>
      </c>
    </row>
    <row r="59" spans="1:3" ht="15" customHeight="1">
      <c r="A59" s="134" t="s">
        <v>311</v>
      </c>
      <c r="B59" s="556">
        <v>0</v>
      </c>
      <c r="C59" s="244">
        <f>(C8*B59)/43560</f>
        <v>0</v>
      </c>
    </row>
    <row r="60" spans="1:3" ht="18" customHeight="1">
      <c r="A60" s="525" t="s">
        <v>318</v>
      </c>
      <c r="B60" s="525">
        <f>SUM(B53:B59)</f>
        <v>0</v>
      </c>
      <c r="C60" s="526">
        <f>SUM(C53:C59)</f>
        <v>0</v>
      </c>
    </row>
    <row r="61" ht="15" customHeight="1"/>
    <row r="62" ht="15" customHeight="1">
      <c r="A62" s="241" t="s">
        <v>319</v>
      </c>
    </row>
    <row r="63" spans="1:3" ht="15" customHeight="1">
      <c r="A63" s="137" t="s">
        <v>303</v>
      </c>
      <c r="B63" s="238" t="s">
        <v>304</v>
      </c>
      <c r="C63" s="238" t="s">
        <v>191</v>
      </c>
    </row>
    <row r="64" spans="1:3" ht="15" customHeight="1">
      <c r="A64" s="139" t="s">
        <v>305</v>
      </c>
      <c r="B64" s="556">
        <v>0</v>
      </c>
      <c r="C64" s="244">
        <f>(C9*B64)/43560</f>
        <v>0</v>
      </c>
    </row>
    <row r="65" spans="1:3" ht="15" customHeight="1">
      <c r="A65" s="134" t="s">
        <v>306</v>
      </c>
      <c r="B65" s="556">
        <v>0</v>
      </c>
      <c r="C65" s="244">
        <f>(C9*B65)/43560</f>
        <v>0</v>
      </c>
    </row>
    <row r="66" spans="1:3" ht="15" customHeight="1">
      <c r="A66" s="134" t="s">
        <v>307</v>
      </c>
      <c r="B66" s="556">
        <v>0</v>
      </c>
      <c r="C66" s="244">
        <f>(C9*B66)/43560</f>
        <v>0</v>
      </c>
    </row>
    <row r="67" spans="1:3" ht="15" customHeight="1">
      <c r="A67" s="134" t="s">
        <v>308</v>
      </c>
      <c r="B67" s="556">
        <v>0</v>
      </c>
      <c r="C67" s="244">
        <f>(C9*B67)/43560</f>
        <v>0</v>
      </c>
    </row>
    <row r="68" spans="1:3" ht="15" customHeight="1">
      <c r="A68" s="134" t="s">
        <v>309</v>
      </c>
      <c r="B68" s="556">
        <v>0</v>
      </c>
      <c r="C68" s="244">
        <f>(C9*B68)/43560</f>
        <v>0</v>
      </c>
    </row>
    <row r="69" spans="1:3" ht="15" customHeight="1">
      <c r="A69" s="134" t="s">
        <v>310</v>
      </c>
      <c r="B69" s="556">
        <v>0</v>
      </c>
      <c r="C69" s="244">
        <f>(C9*B69)/43560</f>
        <v>0</v>
      </c>
    </row>
    <row r="70" spans="1:3" ht="15" customHeight="1">
      <c r="A70" s="134" t="s">
        <v>311</v>
      </c>
      <c r="B70" s="556">
        <v>0</v>
      </c>
      <c r="C70" s="244">
        <f>(C9*B70)/43560</f>
        <v>0</v>
      </c>
    </row>
    <row r="71" spans="1:3" ht="18" customHeight="1">
      <c r="A71" s="525" t="s">
        <v>320</v>
      </c>
      <c r="B71" s="525">
        <f>SUM(B64:B70)</f>
        <v>0</v>
      </c>
      <c r="C71" s="527">
        <f>SUM(C64:C70)</f>
        <v>0</v>
      </c>
    </row>
    <row r="72" spans="2:3" ht="15" customHeight="1">
      <c r="B72" s="239"/>
      <c r="C72" s="245"/>
    </row>
    <row r="73" ht="15" customHeight="1">
      <c r="A73" s="237" t="s">
        <v>321</v>
      </c>
    </row>
    <row r="74" spans="1:3" ht="15" customHeight="1">
      <c r="A74" s="137" t="s">
        <v>303</v>
      </c>
      <c r="B74" s="238" t="s">
        <v>304</v>
      </c>
      <c r="C74" s="238" t="s">
        <v>191</v>
      </c>
    </row>
    <row r="75" spans="1:3" ht="15" customHeight="1">
      <c r="A75" s="139" t="s">
        <v>305</v>
      </c>
      <c r="B75" s="556">
        <v>0</v>
      </c>
      <c r="C75" s="244">
        <f>(C10*B75)/43560</f>
        <v>0</v>
      </c>
    </row>
    <row r="76" spans="1:3" ht="15" customHeight="1">
      <c r="A76" s="134" t="s">
        <v>306</v>
      </c>
      <c r="B76" s="556">
        <v>0</v>
      </c>
      <c r="C76" s="244">
        <f>(C10*B76)/43560</f>
        <v>0</v>
      </c>
    </row>
    <row r="77" spans="1:3" ht="15" customHeight="1">
      <c r="A77" s="134" t="s">
        <v>307</v>
      </c>
      <c r="B77" s="556">
        <v>0</v>
      </c>
      <c r="C77" s="244">
        <f>(C10*B77)/43560</f>
        <v>0</v>
      </c>
    </row>
    <row r="78" spans="1:3" ht="15" customHeight="1">
      <c r="A78" s="134" t="s">
        <v>308</v>
      </c>
      <c r="B78" s="556">
        <v>0</v>
      </c>
      <c r="C78" s="244">
        <f>(C10*B78)/43560</f>
        <v>0</v>
      </c>
    </row>
    <row r="79" spans="1:3" ht="15" customHeight="1">
      <c r="A79" s="134" t="s">
        <v>309</v>
      </c>
      <c r="B79" s="556">
        <v>0</v>
      </c>
      <c r="C79" s="244">
        <f>(C10*B79)/43560</f>
        <v>0</v>
      </c>
    </row>
    <row r="80" spans="1:3" ht="15" customHeight="1">
      <c r="A80" s="134" t="s">
        <v>310</v>
      </c>
      <c r="B80" s="556">
        <v>0</v>
      </c>
      <c r="C80" s="244">
        <f>(C10*B80)/43560</f>
        <v>0</v>
      </c>
    </row>
    <row r="81" spans="1:3" ht="15" customHeight="1">
      <c r="A81" s="134" t="s">
        <v>311</v>
      </c>
      <c r="B81" s="556">
        <v>0</v>
      </c>
      <c r="C81" s="244">
        <f>(C10*B81)/43560</f>
        <v>0</v>
      </c>
    </row>
    <row r="82" spans="1:3" ht="18" customHeight="1">
      <c r="A82" s="525" t="s">
        <v>322</v>
      </c>
      <c r="B82" s="525">
        <f>SUM(B75:B81)</f>
        <v>0</v>
      </c>
      <c r="C82" s="526">
        <f>SUM(C75:C81)</f>
        <v>0</v>
      </c>
    </row>
    <row r="83" spans="2:3" ht="12.75">
      <c r="B83" s="239"/>
      <c r="C83" s="245"/>
    </row>
    <row r="85" spans="1:2" ht="24" customHeight="1">
      <c r="A85" s="648" t="s">
        <v>323</v>
      </c>
      <c r="B85" s="649" t="s">
        <v>191</v>
      </c>
    </row>
    <row r="86" spans="1:2" ht="18" customHeight="1">
      <c r="A86" s="246" t="s">
        <v>305</v>
      </c>
      <c r="B86" s="247">
        <f>C75+C64+C53+C42+C31+C20</f>
        <v>0</v>
      </c>
    </row>
    <row r="87" spans="1:2" ht="18" customHeight="1">
      <c r="A87" s="246" t="s">
        <v>306</v>
      </c>
      <c r="B87" s="247">
        <f aca="true" t="shared" si="0" ref="B87:B92">C76+C65+C54+C43+C32+C21</f>
        <v>0</v>
      </c>
    </row>
    <row r="88" spans="1:2" ht="18" customHeight="1">
      <c r="A88" s="246" t="s">
        <v>307</v>
      </c>
      <c r="B88" s="247">
        <f t="shared" si="0"/>
        <v>0</v>
      </c>
    </row>
    <row r="89" spans="1:2" ht="18" customHeight="1">
      <c r="A89" s="246" t="s">
        <v>308</v>
      </c>
      <c r="B89" s="247">
        <f t="shared" si="0"/>
        <v>0</v>
      </c>
    </row>
    <row r="90" spans="1:2" ht="18" customHeight="1">
      <c r="A90" s="246" t="s">
        <v>309</v>
      </c>
      <c r="B90" s="247">
        <f t="shared" si="0"/>
        <v>0</v>
      </c>
    </row>
    <row r="91" spans="1:2" ht="18" customHeight="1">
      <c r="A91" s="246" t="s">
        <v>310</v>
      </c>
      <c r="B91" s="247">
        <f t="shared" si="0"/>
        <v>6.22704315886134</v>
      </c>
    </row>
    <row r="92" spans="1:2" ht="18" customHeight="1" thickBot="1">
      <c r="A92" s="248" t="s">
        <v>311</v>
      </c>
      <c r="B92" s="247">
        <f t="shared" si="0"/>
        <v>0</v>
      </c>
    </row>
    <row r="93" spans="1:6" ht="18" customHeight="1" thickBot="1">
      <c r="A93" s="528" t="s">
        <v>324</v>
      </c>
      <c r="B93" s="529">
        <f>SUM(B86:B92)</f>
        <v>6.22704315886134</v>
      </c>
      <c r="C93" s="235"/>
      <c r="E93" s="249" t="s">
        <v>325</v>
      </c>
      <c r="F93" s="235">
        <f>C27+C38+C49+C60+C71+C82</f>
        <v>6.22704315886134</v>
      </c>
    </row>
    <row r="94" spans="1:3" ht="18" customHeight="1">
      <c r="A94" s="250" t="s">
        <v>326</v>
      </c>
      <c r="B94" s="251">
        <f>B86+B87+B90+B91</f>
        <v>6.22704315886134</v>
      </c>
      <c r="C94" s="235"/>
    </row>
    <row r="95" spans="1:3" ht="18" customHeight="1">
      <c r="A95" s="252" t="s">
        <v>327</v>
      </c>
      <c r="B95" s="253">
        <f>B88+B89+B92</f>
        <v>0</v>
      </c>
      <c r="C95" s="235"/>
    </row>
    <row r="96" spans="1:3" ht="29.25" customHeight="1">
      <c r="A96" s="593" t="s">
        <v>591</v>
      </c>
      <c r="B96" s="594">
        <v>2</v>
      </c>
      <c r="C96" s="235"/>
    </row>
    <row r="97" ht="17.25" customHeight="1"/>
    <row r="98" spans="1:3" ht="32.25" customHeight="1">
      <c r="A98" s="561" t="s">
        <v>490</v>
      </c>
      <c r="B98" s="562">
        <f>B93</f>
        <v>6.22704315886134</v>
      </c>
      <c r="C98" s="563" t="s">
        <v>191</v>
      </c>
    </row>
    <row r="99" ht="18" customHeight="1" thickBot="1"/>
    <row r="100" spans="1:4" ht="31.5" customHeight="1" thickBot="1">
      <c r="A100" s="538" t="s">
        <v>491</v>
      </c>
      <c r="B100" s="539" t="s">
        <v>81</v>
      </c>
      <c r="C100" s="539" t="s">
        <v>505</v>
      </c>
      <c r="D100" s="540" t="s">
        <v>564</v>
      </c>
    </row>
    <row r="101" spans="1:4" ht="18" customHeight="1">
      <c r="A101" s="542" t="s">
        <v>492</v>
      </c>
      <c r="B101" s="543">
        <f>IF($B$86&gt;0,'Buffer Budgets'!F4,0)*$B$86+IF($B$87&gt;0,'Buffer Budgets'!F28,0)*$B$87+IF($B$88&gt;0,'Buffer Budgets'!F179,0)*$B$88+IF($B$89&gt;0,'Buffer Budgets'!F53,0)*$B$89+IF($B$90&gt;0,'Buffer Budgets'!F84,0)*$B$90+IF($B$91&gt;0,'Buffer Budgets'!F113,0)*$B$91+IF($B$92&gt;0,'Buffer Budgets'!F142,0)*$B$92</f>
        <v>14745.638200183654</v>
      </c>
      <c r="C101" s="543">
        <f>IF($B$86&gt;0,'Buffer Budgets'!G4,0)*$B$86+IF($B$87&gt;0,'Buffer Budgets'!G28,0)*$B$87+IF($B$88&gt;0,'Buffer Budgets'!G179,0)*$B$88+IF($B$89&gt;0,'Buffer Budgets'!G53,0)*$B$89+IF($B$90&gt;0,'Buffer Budgets'!G84,0)*$B$90+IF($B$91&gt;0,'Buffer Budgets'!G113,0)*$B$91+IF($B$92&gt;0,'Buffer Budgets'!G142,0)*$B$92</f>
        <v>14745.638200183654</v>
      </c>
      <c r="D101" s="544">
        <f>IF(C101&gt;0,C101/$C$111,0)</f>
        <v>0.36036037322068115</v>
      </c>
    </row>
    <row r="102" spans="1:4" ht="18" customHeight="1">
      <c r="A102" s="545" t="s">
        <v>493</v>
      </c>
      <c r="B102" s="257">
        <f>IF($B$86&gt;0,'Buffer Budgets'!F5,0)*$B$86+IF($B$87&gt;0,'Buffer Budgets'!F29,0)*$B$87+IF($B$88&gt;0,'Buffer Budgets'!F180,0)*$B$88+IF($B$89&gt;0,'Buffer Budgets'!F54,0)*$B$89+IF($B$90&gt;0,'Buffer Budgets'!F85+'Buffer Budgets'!F86,0)*$B$90+IF($B$91&gt;0,'Buffer Budgets'!F114+'Buffer Budgets'!F115,0)*$B$91+IF($B$92&gt;0,'Buffer Budgets'!F143+'Buffer Budgets'!F144,0)*$B$92</f>
        <v>2771.0342056932964</v>
      </c>
      <c r="C102" s="257">
        <f>IF($B$86&gt;0,'Buffer Budgets'!G5,0)*$B$86+IF($B$87&gt;0,'Buffer Budgets'!G29,0)*$B$87+IF($B$88&gt;0,'Buffer Budgets'!G180,0)*$B$88+IF($B$89&gt;0,'Buffer Budgets'!G54,0)*$B$89+IF($B$90&gt;0,'Buffer Budgets'!G85+'Buffer Budgets'!G86,0)*$B$90+IF($B$91&gt;0,'Buffer Budgets'!G114+'Buffer Budgets'!G115,0)*$B$91+IF($B$92&gt;0,'Buffer Budgets'!G143+'Buffer Budgets'!G144,0)*$B$92</f>
        <v>10249.530313706446</v>
      </c>
      <c r="D102" s="546">
        <f aca="true" t="shared" si="1" ref="D102:D110">IF(C102&gt;0,C102/$C$111,0)</f>
        <v>0.2504825168664411</v>
      </c>
    </row>
    <row r="103" spans="1:4" ht="18" customHeight="1">
      <c r="A103" s="545" t="s">
        <v>494</v>
      </c>
      <c r="B103" s="257">
        <f>IF($B$86&gt;0,'Buffer Budgets'!F6,0)*$B$86+IF($B$87&gt;0,'Buffer Budgets'!F30,0)*$B$87+IF($B$88&gt;0,'Buffer Budgets'!F181,0)*$B$88+IF($B$89&gt;0,'Buffer Budgets'!F55,0)*$B$89+IF($B$90&gt;0,'Buffer Budgets'!F87,0)*$B$90+IF($B$91&gt;0,'Buffer Budgets'!F116,0)*$B$91+IF($B$92&gt;0,'Buffer Budgets'!F145,0)*$B$92</f>
        <v>1432.2199265381082</v>
      </c>
      <c r="C103" s="257">
        <f>IF($B$86&gt;0,'Buffer Budgets'!G6,0)*$B$86+IF($B$87&gt;0,'Buffer Budgets'!G30,0)*$B$87+IF($B$88&gt;0,'Buffer Budgets'!G181,0)*$B$88+IF($B$89&gt;0,'Buffer Budgets'!G55,0)*$B$89+IF($B$90&gt;0,'Buffer Budgets'!G87,0)*$B$90+IF($B$91&gt;0,'Buffer Budgets'!G116,0)*$B$91+IF($B$92&gt;0,'Buffer Budgets'!G145,0)*$B$92</f>
        <v>15923.976031322063</v>
      </c>
      <c r="D103" s="546">
        <f t="shared" si="1"/>
        <v>0.3891571099128778</v>
      </c>
    </row>
    <row r="104" spans="1:4" ht="18" customHeight="1">
      <c r="A104" s="545" t="s">
        <v>495</v>
      </c>
      <c r="B104" s="257">
        <f>IF($B$86&gt;0,'Buffer Budgets'!F7,0)*$B$86+IF($B$87&gt;0,'Buffer Budgets'!F31,0)*$B$87+IF($B$88&gt;0,'Buffer Budgets'!F182,0)*$B$88+IF($B$89&gt;0,'Buffer Budgets'!F56,0)*$B$89+IF($B$90&gt;0,'Buffer Budgets'!F88,0)*$B$90+IF($B$91&gt;0,'Buffer Budgets'!F117,0)*$B$91+IF($B$92&gt;0,'Buffer Budgets'!F146,0)*$B$92</f>
        <v>0</v>
      </c>
      <c r="C104" s="257">
        <f>IF($B$86&gt;0,'Buffer Budgets'!G7,0)*$B$86+IF($B$87&gt;0,'Buffer Budgets'!G31,0)*$B$87+IF($B$88&gt;0,'Buffer Budgets'!G182,0)*$B$88+IF($B$89&gt;0,'Buffer Budgets'!G56,0)*$B$89+IF($B$90&gt;0,'Buffer Budgets'!G88,0)*$B$90+IF($B$91&gt;0,'Buffer Budgets'!G117,0)*$B$91+IF($B$92&gt;0,'Buffer Budgets'!G146,0)*$B$92</f>
        <v>0</v>
      </c>
      <c r="D104" s="546">
        <f t="shared" si="1"/>
        <v>0</v>
      </c>
    </row>
    <row r="105" spans="1:4" ht="18" customHeight="1">
      <c r="A105" s="545" t="s">
        <v>496</v>
      </c>
      <c r="B105" s="257">
        <f>IF($B$89&gt;0,'Buffer Budgets'!F57,0)*$B$89</f>
        <v>0</v>
      </c>
      <c r="C105" s="257">
        <f>IF($B$89&gt;0,'Buffer Budgets'!G57,0)*$B$89</f>
        <v>0</v>
      </c>
      <c r="D105" s="546">
        <f t="shared" si="1"/>
        <v>0</v>
      </c>
    </row>
    <row r="106" spans="1:4" ht="18" customHeight="1">
      <c r="A106" s="545" t="s">
        <v>497</v>
      </c>
      <c r="B106" s="257">
        <f>IF($B$88&gt;0,'Buffer Budgets'!F183,0)*$B$88</f>
        <v>0</v>
      </c>
      <c r="C106" s="257">
        <f>IF($B$88&gt;0,'Buffer Budgets'!G183,0)*$B$88</f>
        <v>0</v>
      </c>
      <c r="D106" s="546">
        <f t="shared" si="1"/>
        <v>0</v>
      </c>
    </row>
    <row r="107" spans="1:4" ht="18" customHeight="1">
      <c r="A107" s="545" t="s">
        <v>498</v>
      </c>
      <c r="B107" s="257">
        <f>IF($B$92&gt;0,'Buffer Budgets'!F147,0)*$B$92</f>
        <v>0</v>
      </c>
      <c r="C107" s="257">
        <f>IF($B$92&gt;0,'Buffer Budgets'!G147,0)*$B$92</f>
        <v>0</v>
      </c>
      <c r="D107" s="546">
        <f t="shared" si="1"/>
        <v>0</v>
      </c>
    </row>
    <row r="108" spans="1:4" ht="18" customHeight="1">
      <c r="A108" s="398" t="s">
        <v>499</v>
      </c>
      <c r="B108" s="718" t="s">
        <v>663</v>
      </c>
      <c r="C108" s="257">
        <f>IF($B$92&gt;0,'Buffer Budgets'!G148+'Buffer Budgets'!G149,0)*$B$92</f>
        <v>0</v>
      </c>
      <c r="D108" s="546">
        <f t="shared" si="1"/>
        <v>0</v>
      </c>
    </row>
    <row r="109" spans="1:4" ht="18" customHeight="1">
      <c r="A109" s="522" t="s">
        <v>500</v>
      </c>
      <c r="B109" s="555">
        <v>0</v>
      </c>
      <c r="C109" s="257">
        <f>B109/'Farm and Buffer Assumptions'!C29</f>
        <v>0</v>
      </c>
      <c r="D109" s="546">
        <f t="shared" si="1"/>
        <v>0</v>
      </c>
    </row>
    <row r="110" spans="1:4" ht="18" customHeight="1" thickBot="1">
      <c r="A110" s="554" t="s">
        <v>501</v>
      </c>
      <c r="B110" s="557">
        <v>0</v>
      </c>
      <c r="C110" s="549">
        <f>B110/'Farm and Buffer Assumptions'!C29</f>
        <v>0</v>
      </c>
      <c r="D110" s="550">
        <f t="shared" si="1"/>
        <v>0</v>
      </c>
    </row>
    <row r="111" spans="1:7" ht="18" customHeight="1" thickBot="1">
      <c r="A111" s="530" t="s">
        <v>502</v>
      </c>
      <c r="B111" s="531"/>
      <c r="C111" s="532">
        <f>SUM(C101:C110)</f>
        <v>40919.14454521216</v>
      </c>
      <c r="D111" s="533">
        <f>IF(C111&gt;0,C111/C111,0)</f>
        <v>1</v>
      </c>
      <c r="F111" s="368">
        <f>SUM(D101:D110)</f>
        <v>1</v>
      </c>
      <c r="G111" t="s">
        <v>364</v>
      </c>
    </row>
    <row r="112" ht="22.5" customHeight="1"/>
    <row r="113" ht="22.5" customHeight="1" thickBot="1">
      <c r="A113" s="523" t="s">
        <v>503</v>
      </c>
    </row>
    <row r="114" spans="1:4" ht="24.75" customHeight="1" thickBot="1">
      <c r="A114" s="541" t="s">
        <v>504</v>
      </c>
      <c r="B114" s="539" t="s">
        <v>81</v>
      </c>
      <c r="C114" s="539" t="s">
        <v>505</v>
      </c>
      <c r="D114" s="539" t="s">
        <v>565</v>
      </c>
    </row>
    <row r="115" spans="1:4" ht="18" customHeight="1">
      <c r="A115" s="551" t="s">
        <v>506</v>
      </c>
      <c r="B115" s="552">
        <f>IF(B86&gt;0,'Buffer Budgets'!F11,0)*B86</f>
        <v>0</v>
      </c>
      <c r="C115" s="552">
        <f>IF(B86&gt;0,'Buffer Budgets'!G11,0)*B86</f>
        <v>0</v>
      </c>
      <c r="D115" s="544">
        <f>C115/$C$142</f>
        <v>0</v>
      </c>
    </row>
    <row r="116" spans="1:4" ht="18" customHeight="1">
      <c r="A116" s="547" t="s">
        <v>507</v>
      </c>
      <c r="B116" s="257">
        <f>IF($B$87&gt;0,'Buffer Budgets'!F35,0)*$B$87+IF($B$88&gt;0,'Buffer Budgets'!F187,0)*$B$88+IF($B$89&gt;0,'Buffer Budgets'!F61,0)*$B$89+IF($B$90&gt;0,'Buffer Budgets'!F92,0)*$B$90+IF($B$91&gt;0,'Buffer Budgets'!F121,0)*$B$91+IF($B$92&gt;0,'Buffer Budgets'!F153,0)*$B$92</f>
        <v>5292.98668503214</v>
      </c>
      <c r="C116" s="257">
        <f>IF($B$87&gt;0,'Buffer Budgets'!G35,0)*$B$87+IF($B$88&gt;0,'Buffer Budgets'!G187,0)*$B$88+IF($B$89&gt;0,'Buffer Budgets'!G61,0)*$B$89+IF($B$90&gt;0,'Buffer Budgets'!G92,0)*$B$90+IF($B$91&gt;0,'Buffer Budgets'!G121,0)*$B$91+IF($B$92&gt;0,'Buffer Budgets'!G153,0)*$B$92</f>
        <v>5292.98668503214</v>
      </c>
      <c r="D116" s="546">
        <f aca="true" t="shared" si="2" ref="D116:D125">C116/$C$142</f>
        <v>0.21176039209700734</v>
      </c>
    </row>
    <row r="117" spans="1:4" ht="18" customHeight="1">
      <c r="A117" s="547" t="s">
        <v>508</v>
      </c>
      <c r="B117" s="257">
        <f>IF(B89&gt;0,'Buffer Budgets'!F62,0)*B89+IF($B$88&gt;0,'Buffer Budgets'!F188,0)*$B$88</f>
        <v>0</v>
      </c>
      <c r="C117" s="257">
        <f>IF(B89&gt;0,'Buffer Budgets'!G62,0)*B89+IF(B88&gt;0,'Buffer Budgets'!G188,0)*B88</f>
        <v>0</v>
      </c>
      <c r="D117" s="546">
        <f t="shared" si="2"/>
        <v>0</v>
      </c>
    </row>
    <row r="118" spans="1:4" ht="18" customHeight="1">
      <c r="A118" s="398" t="s">
        <v>509</v>
      </c>
      <c r="B118" s="257">
        <f>IF($B$87&gt;0,'Buffer Budgets'!F36,0)*$B$87</f>
        <v>0</v>
      </c>
      <c r="C118" s="257">
        <f>IF(B87&gt;0,'Buffer Budgets'!G36,0)*B87</f>
        <v>0</v>
      </c>
      <c r="D118" s="546">
        <f t="shared" si="2"/>
        <v>0</v>
      </c>
    </row>
    <row r="119" spans="1:4" ht="18" customHeight="1">
      <c r="A119" s="398" t="s">
        <v>510</v>
      </c>
      <c r="B119" s="257">
        <f>IF($B$89&gt;0,'Buffer Budgets'!F64,0)*$B$89+IF($B$88&gt;0,'Buffer Budgets'!F190,0)*$B$88</f>
        <v>0</v>
      </c>
      <c r="C119" s="257">
        <f>IF(C89&gt;0,'Buffer Budgets'!G64,0)*C89+IF($B$88&gt;0,'Buffer Budgets'!G190,0)*$B$88</f>
        <v>0</v>
      </c>
      <c r="D119" s="546">
        <f t="shared" si="2"/>
        <v>0</v>
      </c>
    </row>
    <row r="120" spans="1:4" ht="18" customHeight="1">
      <c r="A120" s="398" t="s">
        <v>511</v>
      </c>
      <c r="B120" s="257">
        <f>IF($B$89&gt;0,'Buffer Budgets'!F63,0)*$B$89+IF($B$88&gt;0,'Buffer Budgets'!F189,0)*$B$88</f>
        <v>0</v>
      </c>
      <c r="C120" s="257">
        <f>IF($B$89&gt;0,'Buffer Budgets'!G63,0)*$B$89+IF($B$88&gt;0,'Buffer Budgets'!G189,0)*$B$88</f>
        <v>0</v>
      </c>
      <c r="D120" s="546">
        <f t="shared" si="2"/>
        <v>0</v>
      </c>
    </row>
    <row r="121" spans="1:4" ht="18" customHeight="1">
      <c r="A121" s="545" t="s">
        <v>512</v>
      </c>
      <c r="B121" s="257">
        <f>IF($B$90&gt;0,'Buffer Budgets'!F93,0)*$B$90+IF($B$91&gt;0,'Buffer Budgets'!F122,0)*$B$91+IF($B$92&gt;0,'Buffer Budgets'!F154,0)*$B$92</f>
        <v>5915.691000918273</v>
      </c>
      <c r="C121" s="257">
        <f>IF($B$90&gt;0,'Buffer Budgets'!G93,0)*$B$90+IF($B$91&gt;0,'Buffer Budgets'!G122,0)*$B$91+IF($B$92&gt;0,'Buffer Budgets'!G154,0)*$B$92</f>
        <v>5915.691000918273</v>
      </c>
      <c r="D121" s="546">
        <f t="shared" si="2"/>
        <v>0.2366733794025376</v>
      </c>
    </row>
    <row r="122" spans="1:4" ht="18" customHeight="1">
      <c r="A122" s="545" t="s">
        <v>513</v>
      </c>
      <c r="B122" s="257">
        <f>IF($B$90&gt;0,'Buffer Budgets'!F94,0)*$B$90+IF($B$91&gt;0,'Buffer Budgets'!F123,0)*$B$91+IF($B$92&gt;0,'Buffer Budgets'!F155,0)*$B$92</f>
        <v>3536.960514233241</v>
      </c>
      <c r="C122" s="257">
        <f>IF($B$90&gt;0,'Buffer Budgets'!G94,0)*$B$90+IF($B$91&gt;0,'Buffer Budgets'!G123,0)*$B$91+IF($B$92&gt;0,'Buffer Budgets'!G155,0)*$B$92</f>
        <v>3536.960514233241</v>
      </c>
      <c r="D122" s="546">
        <f t="shared" si="2"/>
        <v>0.14150576789541194</v>
      </c>
    </row>
    <row r="123" spans="1:4" ht="18" customHeight="1">
      <c r="A123" s="545" t="s">
        <v>577</v>
      </c>
      <c r="B123" s="257">
        <f>IF($B$90&gt;0,'Buffer Budgets'!F99,0)*$B$90+IF($B$91&gt;0,'Buffer Budgets'!F128,0)*$B$91+IF($B$92&gt;0,'Buffer Budgets'!F160,0)*$B$92</f>
        <v>591.5691000918273</v>
      </c>
      <c r="C123" s="257">
        <f>IF($B$90&gt;0,'Buffer Budgets'!G99,0)*$B$90+IF($B$91&gt;0,'Buffer Budgets'!G128,0)*$B$91+IF($B$92&gt;0,'Buffer Budgets'!G160,0)*$B$92</f>
        <v>546.9388869192189</v>
      </c>
      <c r="D123" s="546">
        <f t="shared" si="2"/>
        <v>0.02188178433825236</v>
      </c>
    </row>
    <row r="124" spans="1:4" ht="18" customHeight="1">
      <c r="A124" s="545" t="s">
        <v>514</v>
      </c>
      <c r="B124" s="257">
        <f>C15*C16</f>
        <v>0</v>
      </c>
      <c r="C124" s="257">
        <f>B124</f>
        <v>0</v>
      </c>
      <c r="D124" s="546">
        <f t="shared" si="2"/>
        <v>0</v>
      </c>
    </row>
    <row r="125" spans="1:5" ht="18" customHeight="1" thickBot="1">
      <c r="A125" s="553" t="s">
        <v>515</v>
      </c>
      <c r="B125" s="557">
        <v>0</v>
      </c>
      <c r="C125" s="549">
        <f>B125</f>
        <v>0</v>
      </c>
      <c r="D125" s="550">
        <f t="shared" si="2"/>
        <v>0</v>
      </c>
      <c r="E125" s="368">
        <f>SUM(D115:D125)</f>
        <v>0.6118213237332093</v>
      </c>
    </row>
    <row r="126" spans="1:4" ht="13.5" thickBot="1">
      <c r="A126" s="53"/>
      <c r="B126" s="355"/>
      <c r="C126" s="318"/>
      <c r="D126" s="368"/>
    </row>
    <row r="127" spans="1:4" ht="24.75" customHeight="1" thickBot="1">
      <c r="A127" s="541" t="s">
        <v>516</v>
      </c>
      <c r="B127" s="539" t="s">
        <v>81</v>
      </c>
      <c r="C127" s="539" t="s">
        <v>505</v>
      </c>
      <c r="D127" s="539" t="s">
        <v>565</v>
      </c>
    </row>
    <row r="128" spans="1:4" ht="18" customHeight="1">
      <c r="A128" s="542" t="s">
        <v>517</v>
      </c>
      <c r="B128" s="543">
        <f>IF($B$87&gt;0,'Buffer Budgets'!F40,0)*$B$87</f>
        <v>0</v>
      </c>
      <c r="C128" s="543">
        <f>IF($B$87&gt;0,'Buffer Budgets'!G40,0)*$B$87</f>
        <v>0</v>
      </c>
      <c r="D128" s="544">
        <f aca="true" t="shared" si="3" ref="D128:D142">C128/$C$142</f>
        <v>0</v>
      </c>
    </row>
    <row r="129" spans="1:4" ht="18" customHeight="1">
      <c r="A129" s="545" t="s">
        <v>518</v>
      </c>
      <c r="B129" s="257">
        <f>IF($B$86&gt;0,'Buffer Budgets'!F15,0)*$B$86+IF($B$90&gt;0,'Buffer Budgets'!F98,0)*$B$90+IF($B$91&gt;0,'Buffer Budgets'!F127,0)*$B$91+IF($B$92&gt;0,'Buffer Budgets'!F159,0)*$B$92</f>
        <v>2179.465105601469</v>
      </c>
      <c r="C129" s="257">
        <f>IF($B$86&gt;0,'Buffer Budgets'!G15,0)*$B$86+IF($B$90&gt;0,'Buffer Budgets'!G98,0)*$B$90+IF($B$91&gt;0,'Buffer Budgets'!G127,0)*$B$91+IF($B$92&gt;0,'Buffer Budgets'!G159,0)*$B$92</f>
        <v>9702.591426787225</v>
      </c>
      <c r="D129" s="546">
        <f t="shared" si="3"/>
        <v>0.38817867626679076</v>
      </c>
    </row>
    <row r="130" spans="1:4" ht="18" customHeight="1">
      <c r="A130" s="545" t="s">
        <v>511</v>
      </c>
      <c r="B130" s="257">
        <f>IF($B$89&gt;0,'Buffer Budgets'!F71,0)*$B$89+IF($B$88&gt;0,'Buffer Budgets'!F197,0)*$B$88</f>
        <v>0</v>
      </c>
      <c r="C130" s="257">
        <f>IF($B$89&gt;0,'Buffer Budgets'!G71,0)*$B$89+IF($B$88&gt;0,'Buffer Budgets'!G197,0)*$B$88</f>
        <v>0</v>
      </c>
      <c r="D130" s="546">
        <f t="shared" si="3"/>
        <v>0</v>
      </c>
    </row>
    <row r="131" spans="1:4" ht="18" customHeight="1">
      <c r="A131" s="545" t="s">
        <v>519</v>
      </c>
      <c r="B131" s="257">
        <f>IF($B$89&gt;0,'Buffer Budgets'!F70,0)*$B$89+IF($B$88&gt;0,'Buffer Budgets'!F196,0)*$B$88</f>
        <v>0</v>
      </c>
      <c r="C131" s="257">
        <f>IF($B$89&gt;0,'Buffer Budgets'!G70,0)*$B$89+IF($B$88&gt;0,'Buffer Budgets'!G196,0)*$B$88</f>
        <v>0</v>
      </c>
      <c r="D131" s="546">
        <f t="shared" si="3"/>
        <v>0</v>
      </c>
    </row>
    <row r="132" spans="1:4" ht="18" customHeight="1">
      <c r="A132" s="545" t="s">
        <v>520</v>
      </c>
      <c r="B132" s="257">
        <f>IF($B$89&gt;0,'Buffer Budgets'!F68,0)*$B$89+IF($B$88&gt;0,'Buffer Budgets'!F194,0)*$B$88</f>
        <v>0</v>
      </c>
      <c r="C132" s="257">
        <f>IF($B$89&gt;0,'Buffer Budgets'!G68,0)*$B$89+IF($B$88&gt;0,'Buffer Budgets'!G194,0)*$B$88</f>
        <v>0</v>
      </c>
      <c r="D132" s="546">
        <f t="shared" si="3"/>
        <v>0</v>
      </c>
    </row>
    <row r="133" spans="1:4" ht="18" customHeight="1">
      <c r="A133" s="545" t="s">
        <v>521</v>
      </c>
      <c r="B133" s="257">
        <f>0.1*B124</f>
        <v>0</v>
      </c>
      <c r="C133" s="257">
        <f>B133/'Farm and Buffer Assumptions'!C29</f>
        <v>0</v>
      </c>
      <c r="D133" s="546">
        <f t="shared" si="3"/>
        <v>0</v>
      </c>
    </row>
    <row r="134" spans="1:4" ht="18" customHeight="1">
      <c r="A134" s="545" t="s">
        <v>522</v>
      </c>
      <c r="B134" s="257">
        <f>IF($B$92&gt;0,'Buffer Budgets'!F161,0)*$B$92</f>
        <v>0</v>
      </c>
      <c r="C134" s="257">
        <f>IF($B$92&gt;0,'Buffer Budgets'!G161,0)*$B$92</f>
        <v>0</v>
      </c>
      <c r="D134" s="546">
        <f t="shared" si="3"/>
        <v>0</v>
      </c>
    </row>
    <row r="135" spans="1:4" ht="18" customHeight="1">
      <c r="A135" s="545" t="s">
        <v>523</v>
      </c>
      <c r="B135" s="257">
        <f>IF($B$92&gt;0,'Buffer Budgets'!F162,0)*$B$92</f>
        <v>0</v>
      </c>
      <c r="C135" s="257">
        <f>IF($B$92&gt;0,'Buffer Budgets'!G162,0)*$B$92</f>
        <v>0</v>
      </c>
      <c r="D135" s="546">
        <f t="shared" si="3"/>
        <v>0</v>
      </c>
    </row>
    <row r="136" spans="1:4" ht="18" customHeight="1">
      <c r="A136" s="545" t="s">
        <v>524</v>
      </c>
      <c r="B136" s="257">
        <f>IF($B$92&gt;0,'Buffer Budgets'!F163,0)*$B$92</f>
        <v>0</v>
      </c>
      <c r="C136" s="257">
        <f>IF($B$92&gt;0,'Buffer Budgets'!G163,0)*$B$92</f>
        <v>0</v>
      </c>
      <c r="D136" s="546">
        <f t="shared" si="3"/>
        <v>0</v>
      </c>
    </row>
    <row r="137" spans="1:4" ht="18" customHeight="1">
      <c r="A137" s="545" t="s">
        <v>525</v>
      </c>
      <c r="B137" s="257">
        <f>IF($B$89&gt;0,'Buffer Budgets'!F69,0)*$B$89+IF($B$88&gt;0,'Buffer Budgets'!F195,0)*$B$88</f>
        <v>0</v>
      </c>
      <c r="C137" s="257">
        <f>IF($B$89&gt;0,'Buffer Budgets'!G69,0)*$B$89+IF($B$88&gt;0,'Buffer Budgets'!G195,0)*$B$88+IF($B$92&gt;0,'Buffer Budgets'!G164,0)*$B$92</f>
        <v>0</v>
      </c>
      <c r="D137" s="546">
        <f t="shared" si="3"/>
        <v>0</v>
      </c>
    </row>
    <row r="138" spans="1:4" ht="18" customHeight="1">
      <c r="A138" s="545" t="s">
        <v>563</v>
      </c>
      <c r="B138" s="718" t="s">
        <v>664</v>
      </c>
      <c r="C138" s="257">
        <f>IF($B$92&gt;0,'Buffer Budgets'!G165)*$B$92</f>
        <v>0</v>
      </c>
      <c r="D138" s="546">
        <f t="shared" si="3"/>
        <v>0</v>
      </c>
    </row>
    <row r="139" spans="1:4" ht="27.75" customHeight="1">
      <c r="A139" s="663" t="s">
        <v>688</v>
      </c>
      <c r="B139" s="717">
        <f>IF('Budget w.o. Buffer'!E58&gt;0,B93*'Budget w.o. Buffer'!F58,0)</f>
        <v>0</v>
      </c>
      <c r="C139" s="717">
        <f>B139/'Farm and Buffer Assumptions'!C29</f>
        <v>0</v>
      </c>
      <c r="D139" s="766">
        <f t="shared" si="3"/>
        <v>0</v>
      </c>
    </row>
    <row r="140" spans="1:4" ht="18.75" customHeight="1">
      <c r="A140" s="660" t="s">
        <v>689</v>
      </c>
      <c r="B140" s="743">
        <v>0</v>
      </c>
      <c r="C140" s="257">
        <f>B140/'Farm and Buffer Assumptions'!C29</f>
        <v>0</v>
      </c>
      <c r="D140" s="546">
        <f t="shared" si="3"/>
        <v>0</v>
      </c>
    </row>
    <row r="141" spans="1:4" ht="18" customHeight="1" thickBot="1">
      <c r="A141" s="548" t="s">
        <v>515</v>
      </c>
      <c r="B141" s="557">
        <v>0</v>
      </c>
      <c r="C141" s="549">
        <f>B141/'Farm and Buffer Assumptions'!C29</f>
        <v>0</v>
      </c>
      <c r="D141" s="550">
        <f t="shared" si="3"/>
        <v>0</v>
      </c>
    </row>
    <row r="142" spans="1:4" ht="20.25" customHeight="1" thickBot="1">
      <c r="A142" s="530" t="s">
        <v>526</v>
      </c>
      <c r="B142" s="531"/>
      <c r="C142" s="531">
        <f>SUM(C115:C141)</f>
        <v>24995.168513890098</v>
      </c>
      <c r="D142" s="534">
        <f t="shared" si="3"/>
        <v>1</v>
      </c>
    </row>
    <row r="143" spans="1:4" ht="30" customHeight="1">
      <c r="A143" s="535" t="s">
        <v>621</v>
      </c>
      <c r="B143" s="536"/>
      <c r="C143" s="783">
        <f>C111-C142</f>
        <v>15923.976031322065</v>
      </c>
      <c r="D143" s="537"/>
    </row>
    <row r="144" spans="1:4" ht="30" customHeight="1">
      <c r="A144" s="535" t="s">
        <v>622</v>
      </c>
      <c r="B144" s="536"/>
      <c r="C144" s="783">
        <f>C143/B98</f>
        <v>2557.22910939867</v>
      </c>
      <c r="D144" s="537"/>
    </row>
    <row r="145" spans="1:3" ht="22.5" customHeight="1">
      <c r="A145" s="356"/>
      <c r="B145" s="357"/>
      <c r="C145" s="357"/>
    </row>
    <row r="146" spans="1:3" ht="66" customHeight="1" thickBot="1">
      <c r="A146" s="811" t="s">
        <v>578</v>
      </c>
      <c r="B146" s="812"/>
      <c r="C146" s="812"/>
    </row>
    <row r="147" spans="1:4" ht="36" customHeight="1" thickBot="1">
      <c r="A147" s="591" t="s">
        <v>527</v>
      </c>
      <c r="B147" s="574" t="s">
        <v>5</v>
      </c>
      <c r="C147" s="575" t="s">
        <v>582</v>
      </c>
      <c r="D147" s="575" t="s">
        <v>583</v>
      </c>
    </row>
    <row r="148" spans="1:4" ht="19.5" customHeight="1">
      <c r="A148" s="576" t="s">
        <v>528</v>
      </c>
      <c r="B148" s="577">
        <f>PMT('Farm and Buffer Assumptions'!C29,10,-C111)</f>
        <v>5044.959972160557</v>
      </c>
      <c r="C148" s="577"/>
      <c r="D148" s="578"/>
    </row>
    <row r="149" spans="1:4" ht="19.5" customHeight="1">
      <c r="A149" s="386" t="s">
        <v>529</v>
      </c>
      <c r="B149" s="579">
        <f>PMT('Farm and Buffer Assumptions'!C29,10,-C142)</f>
        <v>3081.6779297684025</v>
      </c>
      <c r="C149" s="579"/>
      <c r="D149" s="580"/>
    </row>
    <row r="150" spans="1:4" ht="19.5" customHeight="1" thickBot="1">
      <c r="A150" s="584" t="s">
        <v>530</v>
      </c>
      <c r="B150" s="585">
        <f>B148-B149</f>
        <v>1963.2820423921548</v>
      </c>
      <c r="C150" s="585">
        <f>B150/$B$98</f>
        <v>315.28319176627565</v>
      </c>
      <c r="D150" s="586">
        <f>B150/'Budget with Buffer'!$D$4</f>
        <v>4.985822434688448</v>
      </c>
    </row>
    <row r="151" spans="1:4" s="583" customFormat="1" ht="30" customHeight="1" thickBot="1">
      <c r="A151" s="590" t="s">
        <v>531</v>
      </c>
      <c r="B151" s="573" t="s">
        <v>5</v>
      </c>
      <c r="C151" s="496" t="s">
        <v>582</v>
      </c>
      <c r="D151" s="496" t="s">
        <v>583</v>
      </c>
    </row>
    <row r="152" spans="1:4" ht="19.5" customHeight="1">
      <c r="A152" s="587" t="s">
        <v>528</v>
      </c>
      <c r="B152" s="588">
        <f>PMT('Farm and Buffer Assumptions'!C29,15,-C111)</f>
        <v>3680.3128866352845</v>
      </c>
      <c r="C152" s="588"/>
      <c r="D152" s="589"/>
    </row>
    <row r="153" spans="1:4" ht="19.5" customHeight="1">
      <c r="A153" s="386" t="s">
        <v>529</v>
      </c>
      <c r="B153" s="579">
        <f>PMT('Farm and Buffer Assumptions'!C29,15,-C142)</f>
        <v>2248.0929600971763</v>
      </c>
      <c r="C153" s="579"/>
      <c r="D153" s="580"/>
    </row>
    <row r="154" spans="1:4" ht="19.5" customHeight="1" thickBot="1">
      <c r="A154" s="584" t="s">
        <v>530</v>
      </c>
      <c r="B154" s="585">
        <f>B152-B153</f>
        <v>1432.2199265381082</v>
      </c>
      <c r="C154" s="585">
        <f>B154/$B$98</f>
        <v>230</v>
      </c>
      <c r="D154" s="586">
        <f>B154/'Budget with Buffer'!$D$4</f>
        <v>3.637171882059728</v>
      </c>
    </row>
    <row r="155" spans="1:4" ht="29.25" customHeight="1" thickBot="1">
      <c r="A155" s="590" t="s">
        <v>532</v>
      </c>
      <c r="B155" s="573" t="s">
        <v>5</v>
      </c>
      <c r="C155" s="496" t="s">
        <v>582</v>
      </c>
      <c r="D155" s="496" t="s">
        <v>583</v>
      </c>
    </row>
    <row r="156" spans="1:4" ht="19.5" customHeight="1">
      <c r="A156" s="587" t="s">
        <v>528</v>
      </c>
      <c r="B156" s="588">
        <f>PMT('Farm and Buffer Assumptions'!C29,25,-C111)</f>
        <v>2619.3147578816765</v>
      </c>
      <c r="C156" s="588"/>
      <c r="D156" s="589"/>
    </row>
    <row r="157" spans="1:4" ht="19.5" customHeight="1">
      <c r="A157" s="386" t="s">
        <v>529</v>
      </c>
      <c r="B157" s="579">
        <f>PMT('Farm and Buffer Assumptions'!C29,25,-C142)</f>
        <v>1599.9897967522938</v>
      </c>
      <c r="C157" s="579"/>
      <c r="D157" s="580"/>
    </row>
    <row r="158" spans="1:4" ht="19.5" customHeight="1" thickBot="1">
      <c r="A158" s="584" t="s">
        <v>530</v>
      </c>
      <c r="B158" s="585">
        <f>B156-B157</f>
        <v>1019.3249611293827</v>
      </c>
      <c r="C158" s="585">
        <f>B158/$B$98</f>
        <v>163.69325458726604</v>
      </c>
      <c r="D158" s="586">
        <f>B158/'Budget with Buffer'!$D$4</f>
        <v>2.588610882033255</v>
      </c>
    </row>
    <row r="159" spans="1:4" ht="28.5" customHeight="1" thickBot="1">
      <c r="A159" s="590" t="s">
        <v>533</v>
      </c>
      <c r="B159" s="573" t="s">
        <v>5</v>
      </c>
      <c r="C159" s="496" t="s">
        <v>582</v>
      </c>
      <c r="D159" s="496" t="s">
        <v>583</v>
      </c>
    </row>
    <row r="160" spans="1:4" ht="19.5" customHeight="1">
      <c r="A160" s="587" t="s">
        <v>528</v>
      </c>
      <c r="B160" s="588">
        <f>PMT('Farm and Buffer Assumptions'!C29,50,-C111)</f>
        <v>1904.7943808033897</v>
      </c>
      <c r="C160" s="588"/>
      <c r="D160" s="589"/>
    </row>
    <row r="161" spans="1:4" ht="19.5" customHeight="1">
      <c r="A161" s="386" t="s">
        <v>529</v>
      </c>
      <c r="B161" s="579">
        <f>PMT('Farm and Buffer Assumptions'!C29,50,-C142)</f>
        <v>1163.5301045916528</v>
      </c>
      <c r="C161" s="579"/>
      <c r="D161" s="580"/>
    </row>
    <row r="162" spans="1:4" ht="19.5" customHeight="1" thickBot="1">
      <c r="A162" s="403" t="s">
        <v>530</v>
      </c>
      <c r="B162" s="581">
        <f>B160-B161</f>
        <v>741.2642762117368</v>
      </c>
      <c r="C162" s="581">
        <f>B162/$B$98</f>
        <v>119.03952763791064</v>
      </c>
      <c r="D162" s="582">
        <f>B162/'Budget with Buffer'!$D$4</f>
        <v>1.8824661859925236</v>
      </c>
    </row>
    <row r="163" spans="1:2" ht="12.75">
      <c r="A163" s="316"/>
      <c r="B163" s="54"/>
    </row>
    <row r="164" spans="1:2" ht="12.75">
      <c r="A164" s="249" t="s">
        <v>364</v>
      </c>
      <c r="B164" s="365">
        <f>C143/((1-1/(1+'Farm and Buffer Assumptions'!C29)^50)/'Farm and Buffer Assumptions'!C29)</f>
        <v>741.264276211737</v>
      </c>
    </row>
  </sheetData>
  <mergeCells count="2">
    <mergeCell ref="A2:C3"/>
    <mergeCell ref="A146:C146"/>
  </mergeCells>
  <printOptions/>
  <pageMargins left="0.5" right="0.5" top="0.75" bottom="0.75" header="0.34" footer="0.45"/>
  <pageSetup fitToHeight="4" orientation="portrait" scale="72" r:id="rId3"/>
  <headerFooter alignWithMargins="0">
    <oddHeader>&amp;LFile: &amp;F, Sheet: &amp;A&amp;R&amp;D, &amp;T</oddHeader>
    <oddFooter>&amp;LPrepared by:
Resource Consulting</oddFooter>
  </headerFooter>
  <rowBreaks count="3" manualBreakCount="3">
    <brk id="60" max="3" man="1"/>
    <brk id="97" max="3" man="1"/>
    <brk id="144" max="3" man="1"/>
  </rowBreaks>
  <legacyDrawing r:id="rId2"/>
</worksheet>
</file>

<file path=xl/worksheets/sheet8.xml><?xml version="1.0" encoding="utf-8"?>
<worksheet xmlns="http://schemas.openxmlformats.org/spreadsheetml/2006/main" xmlns:r="http://schemas.openxmlformats.org/officeDocument/2006/relationships">
  <dimension ref="A1:I67"/>
  <sheetViews>
    <sheetView showGridLines="0" workbookViewId="0" topLeftCell="A1">
      <selection activeCell="A1" sqref="A1:F1"/>
    </sheetView>
  </sheetViews>
  <sheetFormatPr defaultColWidth="9.140625" defaultRowHeight="12.75"/>
  <cols>
    <col min="1" max="1" width="36.8515625" style="0" customWidth="1"/>
    <col min="2" max="2" width="9.421875" style="0" customWidth="1"/>
    <col min="3" max="3" width="10.28125" style="0" customWidth="1"/>
    <col min="4" max="4" width="13.140625" style="0" customWidth="1"/>
    <col min="5" max="5" width="16.28125" style="0" customWidth="1"/>
    <col min="6" max="6" width="15.421875" style="0" customWidth="1"/>
    <col min="7" max="7" width="8.00390625" style="0" customWidth="1"/>
  </cols>
  <sheetData>
    <row r="1" spans="1:8" ht="57.75" customHeight="1">
      <c r="A1" s="813" t="s">
        <v>291</v>
      </c>
      <c r="B1" s="814"/>
      <c r="C1" s="814"/>
      <c r="D1" s="814"/>
      <c r="E1" s="814"/>
      <c r="F1" s="814"/>
      <c r="H1" s="339"/>
    </row>
    <row r="2" spans="1:8" ht="26.25" customHeight="1">
      <c r="A2" s="619" t="s">
        <v>579</v>
      </c>
      <c r="B2" s="620"/>
      <c r="C2" s="621"/>
      <c r="D2" s="622">
        <f>'Budget w.o. Buffer'!B2</f>
        <v>400</v>
      </c>
      <c r="F2" s="3"/>
      <c r="H2" s="339"/>
    </row>
    <row r="3" spans="1:8" ht="36.75" customHeight="1">
      <c r="A3" s="815" t="s">
        <v>665</v>
      </c>
      <c r="B3" s="816"/>
      <c r="C3" s="623"/>
      <c r="D3" s="624">
        <f>'Buffer Builder'!B94</f>
        <v>6.22704315886134</v>
      </c>
      <c r="E3" s="2"/>
      <c r="F3" s="2"/>
      <c r="H3" s="339"/>
    </row>
    <row r="4" spans="1:8" ht="28.5" customHeight="1" thickBot="1">
      <c r="A4" s="625" t="s">
        <v>580</v>
      </c>
      <c r="B4" s="626"/>
      <c r="C4" s="623"/>
      <c r="D4" s="627">
        <f>D2-D3</f>
        <v>393.77295684113864</v>
      </c>
      <c r="E4" s="2"/>
      <c r="F4" s="2"/>
      <c r="H4" s="339"/>
    </row>
    <row r="5" spans="1:8" ht="29.25" customHeight="1" thickBot="1">
      <c r="A5" s="53"/>
      <c r="B5" s="7" t="s">
        <v>2</v>
      </c>
      <c r="C5" s="8" t="s">
        <v>3</v>
      </c>
      <c r="D5" s="8" t="s">
        <v>4</v>
      </c>
      <c r="E5" s="9" t="s">
        <v>5</v>
      </c>
      <c r="F5" s="9" t="s">
        <v>6</v>
      </c>
      <c r="H5" s="339"/>
    </row>
    <row r="6" spans="1:8" ht="16.5" customHeight="1">
      <c r="A6" s="12" t="s">
        <v>7</v>
      </c>
      <c r="B6" s="13"/>
      <c r="C6" s="14"/>
      <c r="D6" s="15"/>
      <c r="E6" s="16"/>
      <c r="F6" s="14"/>
      <c r="H6" s="339"/>
    </row>
    <row r="7" spans="1:8" ht="15" customHeight="1">
      <c r="A7" s="17" t="s">
        <v>8</v>
      </c>
      <c r="B7" s="17" t="s">
        <v>11</v>
      </c>
      <c r="C7" s="18">
        <f>Prices!C6</f>
        <v>28.5</v>
      </c>
      <c r="D7" s="20">
        <f>D4*'Farm and Buffer Assumptions'!C4</f>
        <v>5119.048438934802</v>
      </c>
      <c r="E7" s="20">
        <f>C7*D7</f>
        <v>145892.88050964187</v>
      </c>
      <c r="F7" s="20">
        <f>E7/$D$4</f>
        <v>370.5</v>
      </c>
      <c r="H7" s="339"/>
    </row>
    <row r="8" spans="1:8" ht="15" customHeight="1">
      <c r="A8" s="17" t="s">
        <v>10</v>
      </c>
      <c r="B8" s="17" t="s">
        <v>11</v>
      </c>
      <c r="C8" s="19">
        <f>Prices!C5</f>
        <v>114</v>
      </c>
      <c r="D8" s="20">
        <f>D2*'Farm and Buffer Assumptions'!C5</f>
        <v>0</v>
      </c>
      <c r="E8" s="20">
        <f>C8*D8</f>
        <v>0</v>
      </c>
      <c r="F8" s="20">
        <f>E8/D4</f>
        <v>0</v>
      </c>
      <c r="H8" s="339"/>
    </row>
    <row r="9" spans="1:8" ht="15" customHeight="1">
      <c r="A9" s="17" t="s">
        <v>12</v>
      </c>
      <c r="B9" s="17"/>
      <c r="C9" s="19"/>
      <c r="D9" s="20"/>
      <c r="E9" s="565">
        <v>0</v>
      </c>
      <c r="F9" s="20">
        <f>E9/$D$4</f>
        <v>0</v>
      </c>
      <c r="H9" s="339"/>
    </row>
    <row r="10" spans="1:6" ht="15" customHeight="1">
      <c r="A10" s="17" t="s">
        <v>13</v>
      </c>
      <c r="B10" s="17"/>
      <c r="C10" s="19"/>
      <c r="D10" s="20"/>
      <c r="E10" s="565">
        <v>0</v>
      </c>
      <c r="F10" s="20">
        <f>E10/$D$4</f>
        <v>0</v>
      </c>
    </row>
    <row r="11" spans="1:8" ht="15" customHeight="1">
      <c r="A11" s="17" t="s">
        <v>281</v>
      </c>
      <c r="B11" s="210" t="s">
        <v>66</v>
      </c>
      <c r="C11" s="19"/>
      <c r="D11" s="211">
        <f>'Farm and Buffer Assumptions'!C15</f>
        <v>0</v>
      </c>
      <c r="E11" s="565">
        <f>-D11*E7</f>
        <v>0</v>
      </c>
      <c r="F11" s="20">
        <f>E11/$D$4</f>
        <v>0</v>
      </c>
      <c r="H11" s="339"/>
    </row>
    <row r="12" spans="1:8" ht="24" customHeight="1">
      <c r="A12" s="229" t="s">
        <v>289</v>
      </c>
      <c r="B12" s="30"/>
      <c r="C12" s="31"/>
      <c r="D12" s="31"/>
      <c r="E12" s="230">
        <f>IF('Farm and Buffer Assumptions'!C40=10,'Buffer Builder'!B148,IF('Farm and Buffer Assumptions'!C40=15,'Buffer Builder'!B152,IF('Farm and Buffer Assumptions'!C40=25,'Buffer Builder'!B156,IF('Farm and Buffer Assumptions'!C40=50,'Buffer Builder'!B160))))</f>
        <v>3680.3128866352845</v>
      </c>
      <c r="F12" s="230">
        <f>E12/D4</f>
        <v>9.34628146168008</v>
      </c>
      <c r="H12" s="339"/>
    </row>
    <row r="13" spans="1:9" ht="17.25" customHeight="1">
      <c r="A13" s="520" t="s">
        <v>14</v>
      </c>
      <c r="B13" s="520"/>
      <c r="C13" s="521"/>
      <c r="D13" s="521"/>
      <c r="E13" s="521">
        <f>SUM(E7:E12)</f>
        <v>149573.19339627714</v>
      </c>
      <c r="F13" s="521">
        <f>SUM(F7:F12)</f>
        <v>379.84628146168006</v>
      </c>
      <c r="H13" s="339">
        <f>E13/D4</f>
        <v>379.84628146168006</v>
      </c>
      <c r="I13" t="s">
        <v>364</v>
      </c>
    </row>
    <row r="14" spans="1:8" ht="18" customHeight="1" thickBot="1">
      <c r="A14" s="21"/>
      <c r="B14" s="21"/>
      <c r="C14" s="22"/>
      <c r="D14" s="23"/>
      <c r="E14" s="24"/>
      <c r="F14" s="24"/>
      <c r="H14" s="339"/>
    </row>
    <row r="15" spans="1:8" ht="24.75" customHeight="1" thickBot="1">
      <c r="A15" s="2"/>
      <c r="B15" s="7" t="s">
        <v>2</v>
      </c>
      <c r="C15" s="8" t="s">
        <v>3</v>
      </c>
      <c r="D15" s="8" t="s">
        <v>4</v>
      </c>
      <c r="E15" s="9" t="s">
        <v>5</v>
      </c>
      <c r="F15" s="9" t="s">
        <v>6</v>
      </c>
      <c r="H15" s="339"/>
    </row>
    <row r="16" spans="1:8" ht="16.5" customHeight="1">
      <c r="A16" s="12" t="s">
        <v>15</v>
      </c>
      <c r="B16" s="13"/>
      <c r="C16" s="14"/>
      <c r="D16" s="141"/>
      <c r="E16" s="16"/>
      <c r="F16" s="14"/>
      <c r="H16" s="339"/>
    </row>
    <row r="17" spans="1:8" ht="16.5" customHeight="1">
      <c r="A17" s="25" t="s">
        <v>18</v>
      </c>
      <c r="B17" s="17"/>
      <c r="C17" s="19"/>
      <c r="D17" s="20"/>
      <c r="E17" s="228" t="s">
        <v>288</v>
      </c>
      <c r="F17" s="228" t="s">
        <v>288</v>
      </c>
      <c r="H17" s="339"/>
    </row>
    <row r="18" spans="1:8" ht="16.5" customHeight="1">
      <c r="A18" s="17" t="s">
        <v>21</v>
      </c>
      <c r="B18" s="17" t="s">
        <v>20</v>
      </c>
      <c r="C18" s="26">
        <f>Prices!C12</f>
        <v>0.16</v>
      </c>
      <c r="D18" s="20">
        <v>0</v>
      </c>
      <c r="E18" s="20">
        <f aca="true" t="shared" si="0" ref="E18:E23">D18*C18</f>
        <v>0</v>
      </c>
      <c r="F18" s="20">
        <f aca="true" t="shared" si="1" ref="F18:F23">E18/$D$4</f>
        <v>0</v>
      </c>
      <c r="H18" s="339"/>
    </row>
    <row r="19" spans="1:8" ht="16.5" customHeight="1">
      <c r="A19" s="17" t="s">
        <v>19</v>
      </c>
      <c r="B19" s="17" t="s">
        <v>20</v>
      </c>
      <c r="C19" s="26">
        <f>Prices!C13</f>
        <v>0.2</v>
      </c>
      <c r="D19" s="20">
        <v>0</v>
      </c>
      <c r="E19" s="20">
        <f t="shared" si="0"/>
        <v>0</v>
      </c>
      <c r="F19" s="20">
        <f t="shared" si="1"/>
        <v>0</v>
      </c>
      <c r="H19" s="339"/>
    </row>
    <row r="20" spans="1:8" ht="16.5" customHeight="1">
      <c r="A20" s="17" t="s">
        <v>23</v>
      </c>
      <c r="B20" s="17" t="s">
        <v>20</v>
      </c>
      <c r="C20" s="26">
        <f>Prices!C14</f>
        <v>0.16</v>
      </c>
      <c r="D20" s="20">
        <v>0</v>
      </c>
      <c r="E20" s="20">
        <f t="shared" si="0"/>
        <v>0</v>
      </c>
      <c r="F20" s="20">
        <f t="shared" si="1"/>
        <v>0</v>
      </c>
      <c r="H20" s="339"/>
    </row>
    <row r="21" spans="1:8" ht="16.5" customHeight="1">
      <c r="A21" s="17" t="s">
        <v>22</v>
      </c>
      <c r="B21" s="17" t="s">
        <v>20</v>
      </c>
      <c r="C21" s="26">
        <f>Prices!C15</f>
        <v>0.22</v>
      </c>
      <c r="D21" s="20">
        <v>0</v>
      </c>
      <c r="E21" s="20">
        <f t="shared" si="0"/>
        <v>0</v>
      </c>
      <c r="F21" s="20">
        <f t="shared" si="1"/>
        <v>0</v>
      </c>
      <c r="H21" s="339"/>
    </row>
    <row r="22" spans="1:8" ht="16.5" customHeight="1">
      <c r="A22" s="17" t="s">
        <v>24</v>
      </c>
      <c r="B22" s="17" t="s">
        <v>11</v>
      </c>
      <c r="C22" s="18">
        <f>Prices!C16</f>
        <v>0</v>
      </c>
      <c r="D22" s="20">
        <v>0</v>
      </c>
      <c r="E22" s="20">
        <f t="shared" si="0"/>
        <v>0</v>
      </c>
      <c r="F22" s="20">
        <f t="shared" si="1"/>
        <v>0</v>
      </c>
      <c r="H22" s="339"/>
    </row>
    <row r="23" spans="1:8" ht="16.5" customHeight="1">
      <c r="A23" s="17" t="s">
        <v>25</v>
      </c>
      <c r="B23" s="17" t="s">
        <v>201</v>
      </c>
      <c r="C23" s="18">
        <f>Prices!C17</f>
        <v>0</v>
      </c>
      <c r="D23" s="20">
        <f>8000*'Farm and Buffer Assumptions'!C6</f>
        <v>40000</v>
      </c>
      <c r="E23" s="20">
        <f t="shared" si="0"/>
        <v>0</v>
      </c>
      <c r="F23" s="20">
        <f t="shared" si="1"/>
        <v>0</v>
      </c>
      <c r="H23" s="339"/>
    </row>
    <row r="24" spans="1:9" ht="16.5" customHeight="1">
      <c r="A24" s="17" t="s">
        <v>47</v>
      </c>
      <c r="B24" s="769">
        <f>'Budget w.o. Buffer'!B21</f>
        <v>0</v>
      </c>
      <c r="C24" s="770">
        <f>'Budget w.o. Buffer'!C21</f>
        <v>0</v>
      </c>
      <c r="D24" s="771">
        <f>'Budget w.o. Buffer'!D21</f>
        <v>0</v>
      </c>
      <c r="E24" s="20">
        <f>F24*$B$2</f>
        <v>0</v>
      </c>
      <c r="F24" s="20">
        <f>C24*D24</f>
        <v>0</v>
      </c>
      <c r="H24" s="596"/>
      <c r="I24" s="78"/>
    </row>
    <row r="25" spans="1:8" ht="16.5" customHeight="1">
      <c r="A25" s="17" t="s">
        <v>47</v>
      </c>
      <c r="B25" s="769">
        <f>'Budget w.o. Buffer'!B22</f>
        <v>0</v>
      </c>
      <c r="C25" s="770">
        <f>'Budget w.o. Buffer'!C22</f>
        <v>0</v>
      </c>
      <c r="D25" s="771">
        <f>'Budget w.o. Buffer'!D22</f>
        <v>0</v>
      </c>
      <c r="E25" s="20">
        <f>F25*$B$2</f>
        <v>0</v>
      </c>
      <c r="F25" s="20">
        <f>C25*D25</f>
        <v>0</v>
      </c>
      <c r="H25" s="339"/>
    </row>
    <row r="26" spans="1:9" s="78" customFormat="1" ht="16.5" customHeight="1">
      <c r="A26" s="772" t="s">
        <v>26</v>
      </c>
      <c r="B26" s="772"/>
      <c r="C26" s="773"/>
      <c r="D26" s="773"/>
      <c r="E26" s="773">
        <f>SUM(E17:E25)</f>
        <v>0</v>
      </c>
      <c r="F26" s="773">
        <f>SUM(F17:F25)</f>
        <v>0</v>
      </c>
      <c r="H26" s="339"/>
      <c r="I26"/>
    </row>
    <row r="27" spans="1:8" ht="16.5" customHeight="1">
      <c r="A27" s="76" t="s">
        <v>196</v>
      </c>
      <c r="B27" s="76" t="s">
        <v>17</v>
      </c>
      <c r="C27" s="87">
        <f>Prices!C10</f>
        <v>25</v>
      </c>
      <c r="D27" s="28">
        <f>(D2-'Buffer Builder'!B93)*'Farm and Buffer Assumptions'!C6</f>
        <v>1968.8647842056932</v>
      </c>
      <c r="E27" s="28">
        <f>C27*D27</f>
        <v>49221.61960514233</v>
      </c>
      <c r="F27" s="28">
        <f>E27/$D$4</f>
        <v>125</v>
      </c>
      <c r="G27" s="27"/>
      <c r="H27" s="339"/>
    </row>
    <row r="28" spans="1:8" ht="16.5" customHeight="1">
      <c r="A28" s="25" t="s">
        <v>205</v>
      </c>
      <c r="B28" s="17"/>
      <c r="C28" s="19"/>
      <c r="D28" s="20"/>
      <c r="E28" s="228" t="s">
        <v>288</v>
      </c>
      <c r="F28" s="228" t="s">
        <v>288</v>
      </c>
      <c r="G28" s="27"/>
      <c r="H28" s="339"/>
    </row>
    <row r="29" spans="1:8" ht="16.5" customHeight="1">
      <c r="A29" s="17" t="s">
        <v>27</v>
      </c>
      <c r="B29" s="17"/>
      <c r="C29" s="19"/>
      <c r="D29" s="20"/>
      <c r="E29" s="20">
        <f>F29*$D$4</f>
        <v>2362.6377410468317</v>
      </c>
      <c r="F29" s="28">
        <f>'Budget w.o. Buffer'!F26</f>
        <v>6</v>
      </c>
      <c r="G29" s="27"/>
      <c r="H29" s="339"/>
    </row>
    <row r="30" spans="1:8" ht="16.5" customHeight="1">
      <c r="A30" s="17" t="s">
        <v>28</v>
      </c>
      <c r="B30" s="17"/>
      <c r="C30" s="19"/>
      <c r="D30" s="20"/>
      <c r="E30" s="20">
        <f>F30*$D$4</f>
        <v>4725.275482093663</v>
      </c>
      <c r="F30" s="28">
        <f>'Budget w.o. Buffer'!F27</f>
        <v>12</v>
      </c>
      <c r="G30" s="27"/>
      <c r="H30" s="339"/>
    </row>
    <row r="31" spans="1:8" ht="16.5" customHeight="1">
      <c r="A31" s="25" t="s">
        <v>239</v>
      </c>
      <c r="B31" s="17"/>
      <c r="C31" s="19"/>
      <c r="D31" s="20"/>
      <c r="E31" s="20">
        <f>F31*D4</f>
        <v>31205.68357592261</v>
      </c>
      <c r="F31" s="28">
        <f>'Equipment and Investment'!C121</f>
        <v>79.24790931874999</v>
      </c>
      <c r="G31" s="27"/>
      <c r="H31" s="339"/>
    </row>
    <row r="32" spans="1:8" ht="16.5" customHeight="1">
      <c r="A32" s="25" t="s">
        <v>240</v>
      </c>
      <c r="B32" s="17"/>
      <c r="C32" s="19"/>
      <c r="D32" s="20"/>
      <c r="E32" s="20">
        <f>F32*$D$4</f>
        <v>12142.592089036672</v>
      </c>
      <c r="F32" s="28">
        <f>'Equipment and Investment'!G124</f>
        <v>30.836531249999997</v>
      </c>
      <c r="H32" s="339"/>
    </row>
    <row r="33" spans="1:8" ht="16.5" customHeight="1">
      <c r="A33" s="25" t="s">
        <v>195</v>
      </c>
      <c r="B33" s="17"/>
      <c r="C33" s="18"/>
      <c r="D33" s="20"/>
      <c r="E33" s="228" t="s">
        <v>288</v>
      </c>
      <c r="F33" s="228" t="s">
        <v>288</v>
      </c>
      <c r="H33" s="339"/>
    </row>
    <row r="34" spans="1:8" ht="16.5" customHeight="1">
      <c r="A34" s="55" t="s">
        <v>241</v>
      </c>
      <c r="B34" s="55" t="s">
        <v>204</v>
      </c>
      <c r="C34" s="146">
        <f>Prices!C11</f>
        <v>30</v>
      </c>
      <c r="D34" s="567">
        <f>'Budget w.o. Buffer'!D31</f>
        <v>2</v>
      </c>
      <c r="E34" s="20">
        <f>D34*C34</f>
        <v>60</v>
      </c>
      <c r="F34" s="205">
        <f>E34/$D$4</f>
        <v>0.15237206861873462</v>
      </c>
      <c r="H34" s="339"/>
    </row>
    <row r="35" spans="1:8" ht="16.5" customHeight="1">
      <c r="A35" s="17" t="s">
        <v>242</v>
      </c>
      <c r="B35" s="17"/>
      <c r="C35" s="19"/>
      <c r="D35" s="20"/>
      <c r="E35" s="565">
        <f>'Budget w.o. Buffer'!E32</f>
        <v>0</v>
      </c>
      <c r="F35" s="28">
        <f>E35/D4</f>
        <v>0</v>
      </c>
      <c r="H35" s="339"/>
    </row>
    <row r="36" spans="1:8" ht="16.5" customHeight="1">
      <c r="A36" s="17" t="s">
        <v>193</v>
      </c>
      <c r="B36" s="17"/>
      <c r="C36" s="18"/>
      <c r="D36" s="20"/>
      <c r="E36" s="20">
        <f>F36*$D$4</f>
        <v>3937.7295684113865</v>
      </c>
      <c r="F36" s="774">
        <f>'Budget w.o. Buffer'!F33</f>
        <v>10</v>
      </c>
      <c r="H36" s="339"/>
    </row>
    <row r="37" spans="1:8" ht="18" customHeight="1">
      <c r="A37" s="17" t="s">
        <v>194</v>
      </c>
      <c r="B37" s="17"/>
      <c r="C37" s="18"/>
      <c r="D37" s="20"/>
      <c r="E37" s="20">
        <f>F37*$D$4</f>
        <v>196.88647842056932</v>
      </c>
      <c r="F37" s="774">
        <f>'Budget w.o. Buffer'!F34</f>
        <v>0.5</v>
      </c>
      <c r="H37" s="339"/>
    </row>
    <row r="38" spans="1:9" ht="29.25" customHeight="1">
      <c r="A38" s="25" t="s">
        <v>29</v>
      </c>
      <c r="B38" s="17"/>
      <c r="C38" s="19"/>
      <c r="D38" s="20"/>
      <c r="E38" s="565">
        <f>'Budget w.o. Buffer'!E35</f>
        <v>0</v>
      </c>
      <c r="F38" s="28">
        <f>E38/D4</f>
        <v>0</v>
      </c>
      <c r="H38" s="339"/>
      <c r="I38" s="29"/>
    </row>
    <row r="39" spans="1:6" ht="18" customHeight="1">
      <c r="A39" s="17" t="s">
        <v>31</v>
      </c>
      <c r="B39" s="17"/>
      <c r="C39" s="19"/>
      <c r="D39" s="20"/>
      <c r="E39" s="20">
        <f>F39*$D$4</f>
        <v>0</v>
      </c>
      <c r="F39" s="565">
        <f>'Budget w.o. Buffer'!F36</f>
        <v>0</v>
      </c>
    </row>
    <row r="40" spans="1:8" ht="18" customHeight="1">
      <c r="A40" s="17" t="s">
        <v>31</v>
      </c>
      <c r="B40" s="17"/>
      <c r="C40" s="19"/>
      <c r="D40" s="20"/>
      <c r="E40" s="20">
        <f>F40*$D$4</f>
        <v>0</v>
      </c>
      <c r="F40" s="565">
        <f>'Budget w.o. Buffer'!F37</f>
        <v>0</v>
      </c>
      <c r="H40" s="339"/>
    </row>
    <row r="41" spans="1:8" ht="25.5" customHeight="1">
      <c r="A41" s="25" t="s">
        <v>30</v>
      </c>
      <c r="B41" s="17"/>
      <c r="C41" s="19"/>
      <c r="D41" s="20"/>
      <c r="E41" s="20">
        <f>SUM(E17:E40)/2*'Farm and Buffer Assumptions'!C24/2</f>
        <v>1298.1553067509258</v>
      </c>
      <c r="F41" s="20">
        <f>E41/$D$4</f>
        <v>3.296710157967109</v>
      </c>
      <c r="H41" s="339"/>
    </row>
    <row r="42" spans="1:8" ht="18" customHeight="1" thickBot="1">
      <c r="A42" s="231" t="s">
        <v>290</v>
      </c>
      <c r="B42" s="232"/>
      <c r="C42" s="233"/>
      <c r="D42" s="233"/>
      <c r="E42" s="234">
        <f>IF('Farm and Buffer Assumptions'!C40=10,'Buffer Builder'!B149,IF('Farm and Buffer Assumptions'!C40=15,'Buffer Builder'!B153,IF('Farm and Buffer Assumptions'!C40=25,'Buffer Builder'!B157,IF('Farm and Buffer Assumptions'!C40=50,'Buffer Builder'!B161))))</f>
        <v>2248.0929600971763</v>
      </c>
      <c r="F42" s="234">
        <f>E42/D4</f>
        <v>5.709109579620352</v>
      </c>
      <c r="G42" s="176"/>
      <c r="H42" s="339"/>
    </row>
    <row r="43" spans="1:9" ht="18" customHeight="1">
      <c r="A43" s="206" t="s">
        <v>32</v>
      </c>
      <c r="B43" s="206"/>
      <c r="C43" s="207"/>
      <c r="D43" s="207"/>
      <c r="E43" s="207">
        <f>SUM(E26:E42)</f>
        <v>107398.67280692216</v>
      </c>
      <c r="F43" s="207">
        <f>SUM(F26:F42)</f>
        <v>272.7426323749562</v>
      </c>
      <c r="G43" s="176">
        <f>F43/F58</f>
        <v>0.7163000588263795</v>
      </c>
      <c r="H43" s="339">
        <f>E43/D4</f>
        <v>272.74263237495614</v>
      </c>
      <c r="I43" t="s">
        <v>364</v>
      </c>
    </row>
    <row r="44" spans="1:8" ht="18" customHeight="1">
      <c r="A44" s="2"/>
      <c r="B44" s="2"/>
      <c r="C44" s="3"/>
      <c r="D44" s="4"/>
      <c r="E44" s="10"/>
      <c r="F44" s="11"/>
      <c r="G44" s="176"/>
      <c r="H44" s="339"/>
    </row>
    <row r="45" spans="1:8" ht="18" customHeight="1">
      <c r="A45" s="12" t="s">
        <v>206</v>
      </c>
      <c r="B45" s="13"/>
      <c r="C45" s="14"/>
      <c r="D45" s="15"/>
      <c r="E45" s="16"/>
      <c r="F45" s="14"/>
      <c r="G45" s="176"/>
      <c r="H45" s="339"/>
    </row>
    <row r="46" spans="1:6" ht="18" customHeight="1">
      <c r="A46" s="17" t="s">
        <v>33</v>
      </c>
      <c r="B46" s="17"/>
      <c r="C46" s="19"/>
      <c r="D46" s="19"/>
      <c r="E46" s="20">
        <f>'Budget w.o. Buffer'!E42</f>
        <v>2921.722391046251</v>
      </c>
      <c r="F46" s="20">
        <f>E46/D4</f>
        <v>7.419814744223212</v>
      </c>
    </row>
    <row r="47" spans="1:6" ht="18" customHeight="1">
      <c r="A47" s="17" t="s">
        <v>35</v>
      </c>
      <c r="B47" s="17"/>
      <c r="C47" s="19"/>
      <c r="D47" s="19"/>
      <c r="E47" s="20">
        <f>'Budget w.o. Buffer'!E43</f>
        <v>1697.63874</v>
      </c>
      <c r="F47" s="20">
        <f>E47/D4</f>
        <v>4.311212109685036</v>
      </c>
    </row>
    <row r="48" spans="1:6" ht="18" customHeight="1">
      <c r="A48" s="17" t="s">
        <v>34</v>
      </c>
      <c r="B48" s="17"/>
      <c r="C48" s="19"/>
      <c r="D48" s="19"/>
      <c r="E48" s="565">
        <f>'Budget w.o. Buffer'!E44</f>
        <v>0</v>
      </c>
      <c r="F48" s="20">
        <f>E48/D4</f>
        <v>0</v>
      </c>
    </row>
    <row r="49" spans="1:9" s="151" customFormat="1" ht="18" customHeight="1">
      <c r="A49" s="17" t="s">
        <v>31</v>
      </c>
      <c r="B49" s="17"/>
      <c r="C49" s="19"/>
      <c r="D49" s="19"/>
      <c r="E49" s="565">
        <f>'Budget w.o. Buffer'!E45</f>
        <v>0</v>
      </c>
      <c r="F49" s="20">
        <f>E49/D4</f>
        <v>0</v>
      </c>
      <c r="G49"/>
      <c r="H49"/>
      <c r="I49"/>
    </row>
    <row r="50" spans="1:8" ht="18" customHeight="1">
      <c r="A50" s="17" t="s">
        <v>31</v>
      </c>
      <c r="B50" s="17"/>
      <c r="C50" s="19"/>
      <c r="D50" s="19"/>
      <c r="E50" s="565">
        <f>'Budget w.o. Buffer'!E46</f>
        <v>0</v>
      </c>
      <c r="F50" s="20">
        <f>E50/D4</f>
        <v>0</v>
      </c>
      <c r="G50" s="176"/>
      <c r="H50" s="339"/>
    </row>
    <row r="51" spans="1:8" ht="19.5" customHeight="1">
      <c r="A51" s="147" t="s">
        <v>207</v>
      </c>
      <c r="B51" s="148"/>
      <c r="C51" s="149"/>
      <c r="D51" s="150"/>
      <c r="E51" s="149"/>
      <c r="F51" s="149"/>
      <c r="G51" s="176"/>
      <c r="H51" s="339"/>
    </row>
    <row r="52" spans="1:7" ht="27.75" customHeight="1">
      <c r="A52" s="17" t="s">
        <v>619</v>
      </c>
      <c r="B52" s="17"/>
      <c r="C52" s="19"/>
      <c r="D52" s="19"/>
      <c r="E52" s="20">
        <f>'Budget w.o. Buffer'!E48</f>
        <v>37300.56253616582</v>
      </c>
      <c r="F52" s="20">
        <f>E52/D4</f>
        <v>94.726064571301</v>
      </c>
      <c r="G52" s="176"/>
    </row>
    <row r="53" spans="1:8" ht="18" customHeight="1">
      <c r="A53" s="17" t="s">
        <v>609</v>
      </c>
      <c r="B53" s="17"/>
      <c r="C53" s="19"/>
      <c r="D53" s="19"/>
      <c r="E53" s="20">
        <f>'Budget w.o. Buffer'!E49</f>
        <v>616.7155275</v>
      </c>
      <c r="F53" s="20">
        <f>E53/D4</f>
        <v>1.5661703445744852</v>
      </c>
      <c r="G53" s="176"/>
      <c r="H53" s="339"/>
    </row>
    <row r="54" spans="1:6" ht="18" customHeight="1">
      <c r="A54" s="17" t="s">
        <v>208</v>
      </c>
      <c r="B54" s="17"/>
      <c r="C54" s="19"/>
      <c r="D54" s="19"/>
      <c r="E54" s="20">
        <f>F54*D4</f>
        <v>0</v>
      </c>
      <c r="F54" s="565">
        <f>'Budget w.o. Buffer'!F50</f>
        <v>0</v>
      </c>
    </row>
    <row r="55" spans="1:6" ht="18" customHeight="1" thickBot="1">
      <c r="A55" s="30" t="s">
        <v>31</v>
      </c>
      <c r="B55" s="30"/>
      <c r="C55" s="31"/>
      <c r="D55" s="31"/>
      <c r="E55" s="32">
        <f>F55*D4</f>
        <v>0</v>
      </c>
      <c r="F55" s="618">
        <f>'Budget w.o. Buffer'!F51</f>
        <v>0</v>
      </c>
    </row>
    <row r="56" spans="1:9" ht="21" customHeight="1">
      <c r="A56" s="366" t="s">
        <v>36</v>
      </c>
      <c r="B56" s="366"/>
      <c r="C56" s="367"/>
      <c r="D56" s="367"/>
      <c r="E56" s="367">
        <f>SUM(E46:E55)</f>
        <v>42536.639194712065</v>
      </c>
      <c r="F56" s="367">
        <f>SUM(F46:F55)</f>
        <v>108.02326176978373</v>
      </c>
      <c r="G56" s="176">
        <f>F56/F58</f>
        <v>0.2836999411736205</v>
      </c>
      <c r="H56" s="29">
        <f>E56/D4</f>
        <v>108.02326176978372</v>
      </c>
      <c r="I56" t="s">
        <v>364</v>
      </c>
    </row>
    <row r="57" spans="1:9" ht="18.75" customHeight="1">
      <c r="A57" s="21"/>
      <c r="B57" s="2"/>
      <c r="C57" s="3"/>
      <c r="D57" s="23"/>
      <c r="E57" s="10"/>
      <c r="F57" s="11"/>
      <c r="H57" s="339"/>
      <c r="I57" s="29"/>
    </row>
    <row r="58" spans="1:6" ht="18" customHeight="1">
      <c r="A58" s="156" t="s">
        <v>37</v>
      </c>
      <c r="B58" s="42"/>
      <c r="C58" s="152"/>
      <c r="D58" s="153"/>
      <c r="E58" s="154">
        <f>SUM(E56+E43)</f>
        <v>149935.3120016342</v>
      </c>
      <c r="F58" s="155">
        <f>F56+F43</f>
        <v>380.76589414473995</v>
      </c>
    </row>
    <row r="59" spans="1:9" ht="21" customHeight="1">
      <c r="A59" s="214" t="s">
        <v>283</v>
      </c>
      <c r="B59" s="215"/>
      <c r="C59" s="216"/>
      <c r="D59" s="217"/>
      <c r="E59" s="217">
        <f>E13-E58</f>
        <v>-362.1186053570709</v>
      </c>
      <c r="F59" s="217">
        <f>F13-F58</f>
        <v>-0.9196126830598814</v>
      </c>
      <c r="H59" s="339">
        <f>E59/D4</f>
        <v>-0.9196126830598015</v>
      </c>
      <c r="I59" s="29" t="s">
        <v>364</v>
      </c>
    </row>
    <row r="60" spans="1:8" ht="22.5" customHeight="1">
      <c r="A60" s="30" t="s">
        <v>38</v>
      </c>
      <c r="B60" s="30"/>
      <c r="C60" s="31"/>
      <c r="D60" s="31"/>
      <c r="E60" s="32">
        <f>E13*'Farm and Buffer Assumptions'!C14</f>
        <v>10470.1235377394</v>
      </c>
      <c r="F60" s="32">
        <f>E60/D4</f>
        <v>26.589239702317606</v>
      </c>
      <c r="H60" s="339"/>
    </row>
    <row r="61" spans="1:6" ht="23.25" customHeight="1" thickBot="1">
      <c r="A61" s="17" t="s">
        <v>284</v>
      </c>
      <c r="B61" s="17"/>
      <c r="C61" s="19"/>
      <c r="D61" s="19"/>
      <c r="E61" s="20">
        <f>Prices!C24*('Farm and Buffer Assumptions'!C21-'Buffer Builder'!B96)</f>
        <v>22770</v>
      </c>
      <c r="F61" s="20">
        <f>E61/D4</f>
        <v>57.82520004080978</v>
      </c>
    </row>
    <row r="62" spans="1:9" ht="19.5" customHeight="1" thickBot="1">
      <c r="A62" s="33" t="s">
        <v>39</v>
      </c>
      <c r="B62" s="33"/>
      <c r="C62" s="34"/>
      <c r="D62" s="34"/>
      <c r="E62" s="35">
        <f>SUM(E60:E61)+E58</f>
        <v>183175.4355393736</v>
      </c>
      <c r="F62" s="35">
        <f>SUM(F60:F61)+F58</f>
        <v>465.18033388786733</v>
      </c>
      <c r="H62" s="339">
        <f>E62/D4</f>
        <v>465.1803338878672</v>
      </c>
      <c r="I62" t="s">
        <v>364</v>
      </c>
    </row>
    <row r="63" spans="1:9" ht="16.5" thickTop="1">
      <c r="A63" s="36" t="s">
        <v>40</v>
      </c>
      <c r="B63" s="36"/>
      <c r="C63" s="37"/>
      <c r="D63" s="38"/>
      <c r="E63" s="38">
        <f>E13-E62</f>
        <v>-33602.24214309646</v>
      </c>
      <c r="F63" s="38">
        <f>F13-F62</f>
        <v>-85.33405242618727</v>
      </c>
      <c r="H63" s="339">
        <f>E63/D4</f>
        <v>-85.33405242618717</v>
      </c>
      <c r="I63" t="s">
        <v>364</v>
      </c>
    </row>
    <row r="64" spans="1:6" ht="12.75">
      <c r="A64" s="2"/>
      <c r="B64" s="2"/>
      <c r="C64" s="3"/>
      <c r="D64" s="4"/>
      <c r="E64" s="4"/>
      <c r="F64" s="3"/>
    </row>
    <row r="65" spans="1:6" ht="12.75">
      <c r="A65" s="39" t="s">
        <v>192</v>
      </c>
      <c r="B65" s="2"/>
      <c r="C65" s="3"/>
      <c r="D65" s="4"/>
      <c r="E65" s="4"/>
      <c r="F65" s="3"/>
    </row>
    <row r="66" spans="1:6" ht="18" customHeight="1">
      <c r="A66" s="40"/>
      <c r="C66" s="568"/>
      <c r="D66" s="569"/>
      <c r="E66" s="4"/>
      <c r="F66" s="3"/>
    </row>
    <row r="67" spans="1:6" ht="18" customHeight="1">
      <c r="A67" s="41"/>
      <c r="C67" s="570"/>
      <c r="D67" s="570"/>
      <c r="E67" s="4"/>
      <c r="F67" s="3"/>
    </row>
    <row r="68" ht="18" customHeight="1"/>
    <row r="69" ht="18" customHeight="1"/>
  </sheetData>
  <mergeCells count="2">
    <mergeCell ref="A1:F1"/>
    <mergeCell ref="A3:B3"/>
  </mergeCells>
  <printOptions/>
  <pageMargins left="0.5" right="0.5" top="0.46" bottom="0.91" header="0.25" footer="0.45"/>
  <pageSetup fitToHeight="2" orientation="portrait" scale="83" r:id="rId3"/>
  <headerFooter alignWithMargins="0">
    <oddHeader>&amp;L&amp;8File Name: &amp;F, Sheet Name: &amp;A&amp;R&amp;8&amp;D,&amp;T</oddHeader>
    <oddFooter>&amp;L&amp;8Prepared by:
Resource Consulting</oddFooter>
  </headerFooter>
  <rowBreaks count="1" manualBreakCount="1">
    <brk id="43" max="6"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DF215"/>
  <sheetViews>
    <sheetView showGridLines="0" zoomScaleSheetLayoutView="75" workbookViewId="0" topLeftCell="A1">
      <selection activeCell="A1" sqref="A1"/>
    </sheetView>
  </sheetViews>
  <sheetFormatPr defaultColWidth="9.140625" defaultRowHeight="12.75"/>
  <cols>
    <col min="1" max="1" width="47.00390625" style="0" customWidth="1"/>
    <col min="5" max="5" width="10.57421875" style="0" customWidth="1"/>
    <col min="6" max="6" width="12.7109375" style="0" customWidth="1"/>
    <col min="7" max="7" width="13.28125" style="0" customWidth="1"/>
    <col min="8" max="8" width="40.00390625" style="0" customWidth="1"/>
    <col min="10" max="10" width="27.28125" style="0" customWidth="1"/>
    <col min="11" max="11" width="10.28125" style="0" bestFit="1" customWidth="1"/>
    <col min="13" max="13" width="11.57421875" style="0" bestFit="1" customWidth="1"/>
    <col min="14" max="14" width="10.421875" style="0" bestFit="1" customWidth="1"/>
    <col min="16" max="16" width="9.7109375" style="0" bestFit="1" customWidth="1"/>
  </cols>
  <sheetData>
    <row r="1" spans="1:11" ht="47.25" customHeight="1" thickBot="1">
      <c r="A1" s="254" t="s">
        <v>330</v>
      </c>
      <c r="H1" s="2"/>
      <c r="K1" t="s">
        <v>331</v>
      </c>
    </row>
    <row r="2" spans="1:110" ht="45" customHeight="1" thickBot="1">
      <c r="A2" s="678" t="s">
        <v>332</v>
      </c>
      <c r="B2" s="676" t="s">
        <v>333</v>
      </c>
      <c r="C2" s="652" t="s">
        <v>2</v>
      </c>
      <c r="D2" s="653" t="s">
        <v>3</v>
      </c>
      <c r="E2" s="653" t="s">
        <v>4</v>
      </c>
      <c r="F2" s="653" t="s">
        <v>5</v>
      </c>
      <c r="G2" s="653" t="s">
        <v>334</v>
      </c>
      <c r="H2" s="652" t="s">
        <v>335</v>
      </c>
      <c r="J2" s="256" t="s">
        <v>336</v>
      </c>
      <c r="K2" s="134">
        <v>1</v>
      </c>
      <c r="L2" s="134">
        <v>2</v>
      </c>
      <c r="M2" s="134">
        <v>3</v>
      </c>
      <c r="N2" s="134">
        <v>4</v>
      </c>
      <c r="O2" s="134">
        <v>5</v>
      </c>
      <c r="P2" s="134">
        <v>6</v>
      </c>
      <c r="Q2" s="134">
        <v>7</v>
      </c>
      <c r="R2" s="134">
        <v>8</v>
      </c>
      <c r="S2" s="134">
        <v>9</v>
      </c>
      <c r="T2" s="134">
        <v>10</v>
      </c>
      <c r="U2" s="134">
        <v>11</v>
      </c>
      <c r="V2" s="134">
        <v>12</v>
      </c>
      <c r="W2" s="134">
        <v>13</v>
      </c>
      <c r="X2" s="134">
        <v>14</v>
      </c>
      <c r="Y2" s="134">
        <v>15</v>
      </c>
      <c r="Z2" s="132">
        <v>16</v>
      </c>
      <c r="AA2" s="132">
        <v>17</v>
      </c>
      <c r="AB2" s="132">
        <v>18</v>
      </c>
      <c r="AC2" s="132">
        <v>19</v>
      </c>
      <c r="AD2" s="132">
        <v>20</v>
      </c>
      <c r="AE2" s="132">
        <v>21</v>
      </c>
      <c r="AF2" s="132">
        <v>22</v>
      </c>
      <c r="AG2" s="132">
        <v>23</v>
      </c>
      <c r="AH2" s="132">
        <v>24</v>
      </c>
      <c r="AI2" s="132">
        <v>25</v>
      </c>
      <c r="AJ2" s="132">
        <v>26</v>
      </c>
      <c r="AK2" s="132">
        <v>27</v>
      </c>
      <c r="AL2" s="132">
        <v>28</v>
      </c>
      <c r="AM2" s="132">
        <v>29</v>
      </c>
      <c r="AN2" s="132">
        <v>30</v>
      </c>
      <c r="AO2" s="132">
        <v>31</v>
      </c>
      <c r="AP2" s="132">
        <v>32</v>
      </c>
      <c r="AQ2" s="132">
        <v>33</v>
      </c>
      <c r="AR2" s="132">
        <v>34</v>
      </c>
      <c r="AS2" s="132">
        <v>35</v>
      </c>
      <c r="AT2" s="132">
        <v>36</v>
      </c>
      <c r="AU2" s="132">
        <v>37</v>
      </c>
      <c r="AV2" s="132">
        <v>38</v>
      </c>
      <c r="AW2" s="132">
        <v>39</v>
      </c>
      <c r="AX2" s="132">
        <v>40</v>
      </c>
      <c r="AY2" s="132">
        <v>41</v>
      </c>
      <c r="AZ2" s="132">
        <v>42</v>
      </c>
      <c r="BA2" s="132">
        <v>43</v>
      </c>
      <c r="BB2" s="132">
        <v>44</v>
      </c>
      <c r="BC2" s="132">
        <v>45</v>
      </c>
      <c r="BD2" s="132">
        <v>46</v>
      </c>
      <c r="BE2" s="132">
        <v>47</v>
      </c>
      <c r="BF2" s="132">
        <v>48</v>
      </c>
      <c r="BG2" s="132">
        <v>49</v>
      </c>
      <c r="BH2" s="132">
        <v>50</v>
      </c>
      <c r="BI2" s="132">
        <v>51</v>
      </c>
      <c r="BJ2" s="132">
        <v>52</v>
      </c>
      <c r="BK2" s="132">
        <v>53</v>
      </c>
      <c r="BL2" s="132">
        <v>54</v>
      </c>
      <c r="BM2" s="132">
        <v>55</v>
      </c>
      <c r="BN2" s="132">
        <v>56</v>
      </c>
      <c r="BO2" s="132">
        <v>57</v>
      </c>
      <c r="BP2" s="132">
        <v>58</v>
      </c>
      <c r="BQ2" s="132">
        <v>59</v>
      </c>
      <c r="BR2" s="132">
        <v>60</v>
      </c>
      <c r="BS2" s="132">
        <v>61</v>
      </c>
      <c r="BT2" s="132">
        <v>62</v>
      </c>
      <c r="BU2" s="132">
        <v>63</v>
      </c>
      <c r="BV2" s="132">
        <v>64</v>
      </c>
      <c r="BW2" s="132">
        <v>65</v>
      </c>
      <c r="BX2" s="132">
        <v>66</v>
      </c>
      <c r="BY2" s="132">
        <v>67</v>
      </c>
      <c r="BZ2" s="132">
        <v>68</v>
      </c>
      <c r="CA2" s="132">
        <v>69</v>
      </c>
      <c r="CB2" s="132">
        <v>70</v>
      </c>
      <c r="CC2" s="132">
        <v>71</v>
      </c>
      <c r="CD2" s="132">
        <v>72</v>
      </c>
      <c r="CE2" s="132">
        <v>73</v>
      </c>
      <c r="CF2" s="132">
        <v>74</v>
      </c>
      <c r="CG2" s="132">
        <v>75</v>
      </c>
      <c r="CH2" s="132">
        <v>76</v>
      </c>
      <c r="CI2" s="132">
        <v>77</v>
      </c>
      <c r="CJ2" s="132">
        <v>78</v>
      </c>
      <c r="CK2" s="132">
        <v>79</v>
      </c>
      <c r="CL2" s="132">
        <v>80</v>
      </c>
      <c r="CM2" s="132">
        <v>81</v>
      </c>
      <c r="CN2" s="132">
        <v>82</v>
      </c>
      <c r="CO2" s="132">
        <v>83</v>
      </c>
      <c r="CP2" s="132">
        <v>84</v>
      </c>
      <c r="CQ2" s="132">
        <v>85</v>
      </c>
      <c r="CR2" s="132">
        <v>86</v>
      </c>
      <c r="CS2" s="132">
        <v>87</v>
      </c>
      <c r="CT2" s="132">
        <v>88</v>
      </c>
      <c r="CU2" s="132">
        <v>89</v>
      </c>
      <c r="CV2" s="132">
        <v>90</v>
      </c>
      <c r="CW2" s="132">
        <v>91</v>
      </c>
      <c r="CX2" s="132">
        <v>92</v>
      </c>
      <c r="CY2" s="132">
        <v>93</v>
      </c>
      <c r="CZ2" s="132">
        <v>94</v>
      </c>
      <c r="DA2" s="132">
        <v>95</v>
      </c>
      <c r="DB2" s="132">
        <v>96</v>
      </c>
      <c r="DC2" s="132">
        <v>97</v>
      </c>
      <c r="DD2" s="132">
        <v>98</v>
      </c>
      <c r="DE2" s="132">
        <v>99</v>
      </c>
      <c r="DF2" s="132">
        <v>100</v>
      </c>
    </row>
    <row r="3" spans="1:110" ht="21" customHeight="1">
      <c r="A3" s="679" t="s">
        <v>399</v>
      </c>
      <c r="B3" s="680"/>
      <c r="C3" s="658"/>
      <c r="D3" s="659"/>
      <c r="E3" s="681"/>
      <c r="F3" s="659"/>
      <c r="G3" s="752"/>
      <c r="H3" s="759"/>
      <c r="J3" s="134" t="s">
        <v>337</v>
      </c>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row>
    <row r="4" spans="1:110" ht="18" customHeight="1">
      <c r="A4" s="133" t="s">
        <v>338</v>
      </c>
      <c r="B4" s="134">
        <v>1</v>
      </c>
      <c r="C4" s="134" t="s">
        <v>17</v>
      </c>
      <c r="D4" s="134">
        <f>IF('Farm and Buffer Assumptions'!C54=1,F12*'Farm and Buffer Assumptions'!C47,0)</f>
        <v>50</v>
      </c>
      <c r="E4" s="244">
        <v>1</v>
      </c>
      <c r="F4" s="257">
        <f>E4*D4</f>
        <v>50</v>
      </c>
      <c r="G4" s="753">
        <f>F4</f>
        <v>50</v>
      </c>
      <c r="H4" s="133"/>
      <c r="J4" s="134" t="s">
        <v>339</v>
      </c>
      <c r="K4" s="257">
        <f>F4</f>
        <v>50</v>
      </c>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row>
    <row r="5" spans="1:110" ht="18" customHeight="1">
      <c r="A5" s="133" t="s">
        <v>340</v>
      </c>
      <c r="B5" s="134">
        <f>'Farm and Buffer Assumptions'!C50</f>
        <v>5</v>
      </c>
      <c r="C5" s="134" t="s">
        <v>17</v>
      </c>
      <c r="D5" s="134">
        <f>IF('Farm and Buffer Assumptions'!C55=1,F16*'Farm and Buffer Assumptions'!C48,0)</f>
        <v>350</v>
      </c>
      <c r="E5" s="244">
        <v>1</v>
      </c>
      <c r="F5" s="257">
        <f>E5*D5</f>
        <v>350</v>
      </c>
      <c r="G5" s="753">
        <f>(PV('Farm and Buffer Assumptions'!$C$29,B5,-F5))</f>
        <v>1558.137815855674</v>
      </c>
      <c r="H5" s="133">
        <f>D5*((1+'Farm and Buffer Assumptions'!C29)^B5-1)/('Farm and Buffer Assumptions'!C29*(1+'Farm and Buffer Assumptions'!C29)^B5)</f>
        <v>1558.137815855674</v>
      </c>
      <c r="J5" s="134" t="s">
        <v>341</v>
      </c>
      <c r="K5" s="257">
        <f>IF(K2=($B$5+1),$F$5,IF(K2&lt;=$B$5,$F$5,0))</f>
        <v>350</v>
      </c>
      <c r="L5" s="257">
        <f>IF(L2=($B$5+1),$F$5,IF(L2&lt;=$B$5,$F$5,0))</f>
        <v>350</v>
      </c>
      <c r="M5" s="257">
        <f>IF(M2=($B$5+1),$F$5,IF(M2&lt;=$B$5,$F$5,0))</f>
        <v>350</v>
      </c>
      <c r="N5" s="257">
        <f>IF(N2&lt;=$B$5,$F$5,0)</f>
        <v>350</v>
      </c>
      <c r="O5" s="257">
        <f aca="true" t="shared" si="0" ref="O5:BZ5">IF(O2&lt;=$B$5,$F$5,0)</f>
        <v>350</v>
      </c>
      <c r="P5" s="257">
        <f t="shared" si="0"/>
        <v>0</v>
      </c>
      <c r="Q5" s="257">
        <f t="shared" si="0"/>
        <v>0</v>
      </c>
      <c r="R5" s="257">
        <f t="shared" si="0"/>
        <v>0</v>
      </c>
      <c r="S5" s="257">
        <f t="shared" si="0"/>
        <v>0</v>
      </c>
      <c r="T5" s="257">
        <f t="shared" si="0"/>
        <v>0</v>
      </c>
      <c r="U5" s="257">
        <f t="shared" si="0"/>
        <v>0</v>
      </c>
      <c r="V5" s="257">
        <f t="shared" si="0"/>
        <v>0</v>
      </c>
      <c r="W5" s="257">
        <f t="shared" si="0"/>
        <v>0</v>
      </c>
      <c r="X5" s="257">
        <f t="shared" si="0"/>
        <v>0</v>
      </c>
      <c r="Y5" s="257">
        <f t="shared" si="0"/>
        <v>0</v>
      </c>
      <c r="Z5" s="257">
        <f t="shared" si="0"/>
        <v>0</v>
      </c>
      <c r="AA5" s="257">
        <f t="shared" si="0"/>
        <v>0</v>
      </c>
      <c r="AB5" s="257">
        <f t="shared" si="0"/>
        <v>0</v>
      </c>
      <c r="AC5" s="257">
        <f t="shared" si="0"/>
        <v>0</v>
      </c>
      <c r="AD5" s="257">
        <f t="shared" si="0"/>
        <v>0</v>
      </c>
      <c r="AE5" s="257">
        <f t="shared" si="0"/>
        <v>0</v>
      </c>
      <c r="AF5" s="257">
        <f t="shared" si="0"/>
        <v>0</v>
      </c>
      <c r="AG5" s="257">
        <f t="shared" si="0"/>
        <v>0</v>
      </c>
      <c r="AH5" s="257">
        <f t="shared" si="0"/>
        <v>0</v>
      </c>
      <c r="AI5" s="257">
        <f t="shared" si="0"/>
        <v>0</v>
      </c>
      <c r="AJ5" s="257">
        <f t="shared" si="0"/>
        <v>0</v>
      </c>
      <c r="AK5" s="257">
        <f t="shared" si="0"/>
        <v>0</v>
      </c>
      <c r="AL5" s="257">
        <f t="shared" si="0"/>
        <v>0</v>
      </c>
      <c r="AM5" s="257">
        <f t="shared" si="0"/>
        <v>0</v>
      </c>
      <c r="AN5" s="257">
        <f t="shared" si="0"/>
        <v>0</v>
      </c>
      <c r="AO5" s="257">
        <f t="shared" si="0"/>
        <v>0</v>
      </c>
      <c r="AP5" s="257">
        <f t="shared" si="0"/>
        <v>0</v>
      </c>
      <c r="AQ5" s="257">
        <f t="shared" si="0"/>
        <v>0</v>
      </c>
      <c r="AR5" s="257">
        <f t="shared" si="0"/>
        <v>0</v>
      </c>
      <c r="AS5" s="257">
        <f t="shared" si="0"/>
        <v>0</v>
      </c>
      <c r="AT5" s="257">
        <f t="shared" si="0"/>
        <v>0</v>
      </c>
      <c r="AU5" s="257">
        <f t="shared" si="0"/>
        <v>0</v>
      </c>
      <c r="AV5" s="257">
        <f t="shared" si="0"/>
        <v>0</v>
      </c>
      <c r="AW5" s="257">
        <f t="shared" si="0"/>
        <v>0</v>
      </c>
      <c r="AX5" s="257">
        <f t="shared" si="0"/>
        <v>0</v>
      </c>
      <c r="AY5" s="257">
        <f t="shared" si="0"/>
        <v>0</v>
      </c>
      <c r="AZ5" s="257">
        <f t="shared" si="0"/>
        <v>0</v>
      </c>
      <c r="BA5" s="257">
        <f t="shared" si="0"/>
        <v>0</v>
      </c>
      <c r="BB5" s="257">
        <f t="shared" si="0"/>
        <v>0</v>
      </c>
      <c r="BC5" s="257">
        <f t="shared" si="0"/>
        <v>0</v>
      </c>
      <c r="BD5" s="257">
        <f t="shared" si="0"/>
        <v>0</v>
      </c>
      <c r="BE5" s="257">
        <f t="shared" si="0"/>
        <v>0</v>
      </c>
      <c r="BF5" s="257">
        <f t="shared" si="0"/>
        <v>0</v>
      </c>
      <c r="BG5" s="257">
        <f t="shared" si="0"/>
        <v>0</v>
      </c>
      <c r="BH5" s="257">
        <f t="shared" si="0"/>
        <v>0</v>
      </c>
      <c r="BI5" s="257">
        <f t="shared" si="0"/>
        <v>0</v>
      </c>
      <c r="BJ5" s="257">
        <f t="shared" si="0"/>
        <v>0</v>
      </c>
      <c r="BK5" s="257">
        <f t="shared" si="0"/>
        <v>0</v>
      </c>
      <c r="BL5" s="257">
        <f t="shared" si="0"/>
        <v>0</v>
      </c>
      <c r="BM5" s="257">
        <f t="shared" si="0"/>
        <v>0</v>
      </c>
      <c r="BN5" s="257">
        <f t="shared" si="0"/>
        <v>0</v>
      </c>
      <c r="BO5" s="257">
        <f t="shared" si="0"/>
        <v>0</v>
      </c>
      <c r="BP5" s="257">
        <f t="shared" si="0"/>
        <v>0</v>
      </c>
      <c r="BQ5" s="257">
        <f t="shared" si="0"/>
        <v>0</v>
      </c>
      <c r="BR5" s="257">
        <f t="shared" si="0"/>
        <v>0</v>
      </c>
      <c r="BS5" s="257">
        <f t="shared" si="0"/>
        <v>0</v>
      </c>
      <c r="BT5" s="257">
        <f t="shared" si="0"/>
        <v>0</v>
      </c>
      <c r="BU5" s="257">
        <f t="shared" si="0"/>
        <v>0</v>
      </c>
      <c r="BV5" s="257">
        <f t="shared" si="0"/>
        <v>0</v>
      </c>
      <c r="BW5" s="257">
        <f t="shared" si="0"/>
        <v>0</v>
      </c>
      <c r="BX5" s="257">
        <f t="shared" si="0"/>
        <v>0</v>
      </c>
      <c r="BY5" s="257">
        <f t="shared" si="0"/>
        <v>0</v>
      </c>
      <c r="BZ5" s="257">
        <f t="shared" si="0"/>
        <v>0</v>
      </c>
      <c r="CA5" s="257">
        <f aca="true" t="shared" si="1" ref="CA5:DF5">IF(CA2&lt;=$B$5,$F$5,0)</f>
        <v>0</v>
      </c>
      <c r="CB5" s="257">
        <f t="shared" si="1"/>
        <v>0</v>
      </c>
      <c r="CC5" s="257">
        <f t="shared" si="1"/>
        <v>0</v>
      </c>
      <c r="CD5" s="257">
        <f t="shared" si="1"/>
        <v>0</v>
      </c>
      <c r="CE5" s="257">
        <f t="shared" si="1"/>
        <v>0</v>
      </c>
      <c r="CF5" s="257">
        <f t="shared" si="1"/>
        <v>0</v>
      </c>
      <c r="CG5" s="257">
        <f t="shared" si="1"/>
        <v>0</v>
      </c>
      <c r="CH5" s="257">
        <f t="shared" si="1"/>
        <v>0</v>
      </c>
      <c r="CI5" s="257">
        <f t="shared" si="1"/>
        <v>0</v>
      </c>
      <c r="CJ5" s="257">
        <f t="shared" si="1"/>
        <v>0</v>
      </c>
      <c r="CK5" s="257">
        <f t="shared" si="1"/>
        <v>0</v>
      </c>
      <c r="CL5" s="257">
        <f t="shared" si="1"/>
        <v>0</v>
      </c>
      <c r="CM5" s="257">
        <f t="shared" si="1"/>
        <v>0</v>
      </c>
      <c r="CN5" s="257">
        <f t="shared" si="1"/>
        <v>0</v>
      </c>
      <c r="CO5" s="257">
        <f t="shared" si="1"/>
        <v>0</v>
      </c>
      <c r="CP5" s="257">
        <f t="shared" si="1"/>
        <v>0</v>
      </c>
      <c r="CQ5" s="257">
        <f t="shared" si="1"/>
        <v>0</v>
      </c>
      <c r="CR5" s="257">
        <f t="shared" si="1"/>
        <v>0</v>
      </c>
      <c r="CS5" s="257">
        <f t="shared" si="1"/>
        <v>0</v>
      </c>
      <c r="CT5" s="257">
        <f t="shared" si="1"/>
        <v>0</v>
      </c>
      <c r="CU5" s="257">
        <f t="shared" si="1"/>
        <v>0</v>
      </c>
      <c r="CV5" s="257">
        <f t="shared" si="1"/>
        <v>0</v>
      </c>
      <c r="CW5" s="257">
        <f t="shared" si="1"/>
        <v>0</v>
      </c>
      <c r="CX5" s="257">
        <f t="shared" si="1"/>
        <v>0</v>
      </c>
      <c r="CY5" s="257">
        <f t="shared" si="1"/>
        <v>0</v>
      </c>
      <c r="CZ5" s="257">
        <f t="shared" si="1"/>
        <v>0</v>
      </c>
      <c r="DA5" s="257">
        <f t="shared" si="1"/>
        <v>0</v>
      </c>
      <c r="DB5" s="257">
        <f t="shared" si="1"/>
        <v>0</v>
      </c>
      <c r="DC5" s="257">
        <f t="shared" si="1"/>
        <v>0</v>
      </c>
      <c r="DD5" s="257">
        <f t="shared" si="1"/>
        <v>0</v>
      </c>
      <c r="DE5" s="257">
        <f t="shared" si="1"/>
        <v>0</v>
      </c>
      <c r="DF5" s="257">
        <f t="shared" si="1"/>
        <v>0</v>
      </c>
    </row>
    <row r="6" spans="1:110" ht="18" customHeight="1">
      <c r="A6" s="134" t="s">
        <v>342</v>
      </c>
      <c r="B6" s="134">
        <f>'Farm and Buffer Assumptions'!C44</f>
        <v>15</v>
      </c>
      <c r="C6" s="134" t="s">
        <v>17</v>
      </c>
      <c r="D6" s="134">
        <f>IF('Farm and Buffer Assumptions'!C52=1,Prices!C24*'Farm and Buffer Assumptions'!C45,0)</f>
        <v>230</v>
      </c>
      <c r="E6" s="244">
        <v>1</v>
      </c>
      <c r="F6" s="257">
        <f>E6*D6</f>
        <v>230</v>
      </c>
      <c r="G6" s="753">
        <f>-PV('Farm and Buffer Assumptions'!C29,B6,F6)</f>
        <v>2557.2291093986696</v>
      </c>
      <c r="H6" s="133"/>
      <c r="J6" s="134" t="s">
        <v>343</v>
      </c>
      <c r="K6" s="257">
        <f>IF(K2&lt;=$B$6,$F$6,0)</f>
        <v>230</v>
      </c>
      <c r="L6" s="257">
        <f aca="true" t="shared" si="2" ref="L6:BW6">IF(L2&lt;=$B$6,$F$6,0)</f>
        <v>230</v>
      </c>
      <c r="M6" s="257">
        <f t="shared" si="2"/>
        <v>230</v>
      </c>
      <c r="N6" s="257">
        <f t="shared" si="2"/>
        <v>230</v>
      </c>
      <c r="O6" s="257">
        <f t="shared" si="2"/>
        <v>230</v>
      </c>
      <c r="P6" s="257">
        <f t="shared" si="2"/>
        <v>230</v>
      </c>
      <c r="Q6" s="257">
        <f t="shared" si="2"/>
        <v>230</v>
      </c>
      <c r="R6" s="257">
        <f t="shared" si="2"/>
        <v>230</v>
      </c>
      <c r="S6" s="257">
        <f t="shared" si="2"/>
        <v>230</v>
      </c>
      <c r="T6" s="257">
        <f t="shared" si="2"/>
        <v>230</v>
      </c>
      <c r="U6" s="257">
        <f t="shared" si="2"/>
        <v>230</v>
      </c>
      <c r="V6" s="257">
        <f t="shared" si="2"/>
        <v>230</v>
      </c>
      <c r="W6" s="257">
        <f t="shared" si="2"/>
        <v>230</v>
      </c>
      <c r="X6" s="257">
        <f t="shared" si="2"/>
        <v>230</v>
      </c>
      <c r="Y6" s="257">
        <f t="shared" si="2"/>
        <v>230</v>
      </c>
      <c r="Z6" s="257">
        <f t="shared" si="2"/>
        <v>0</v>
      </c>
      <c r="AA6" s="257">
        <f t="shared" si="2"/>
        <v>0</v>
      </c>
      <c r="AB6" s="257">
        <f t="shared" si="2"/>
        <v>0</v>
      </c>
      <c r="AC6" s="257">
        <f t="shared" si="2"/>
        <v>0</v>
      </c>
      <c r="AD6" s="257">
        <f t="shared" si="2"/>
        <v>0</v>
      </c>
      <c r="AE6" s="257">
        <f t="shared" si="2"/>
        <v>0</v>
      </c>
      <c r="AF6" s="257">
        <f t="shared" si="2"/>
        <v>0</v>
      </c>
      <c r="AG6" s="257">
        <f t="shared" si="2"/>
        <v>0</v>
      </c>
      <c r="AH6" s="257">
        <f t="shared" si="2"/>
        <v>0</v>
      </c>
      <c r="AI6" s="257">
        <f t="shared" si="2"/>
        <v>0</v>
      </c>
      <c r="AJ6" s="257">
        <f t="shared" si="2"/>
        <v>0</v>
      </c>
      <c r="AK6" s="257">
        <f t="shared" si="2"/>
        <v>0</v>
      </c>
      <c r="AL6" s="257">
        <f t="shared" si="2"/>
        <v>0</v>
      </c>
      <c r="AM6" s="257">
        <f t="shared" si="2"/>
        <v>0</v>
      </c>
      <c r="AN6" s="257">
        <f t="shared" si="2"/>
        <v>0</v>
      </c>
      <c r="AO6" s="257">
        <f t="shared" si="2"/>
        <v>0</v>
      </c>
      <c r="AP6" s="257">
        <f t="shared" si="2"/>
        <v>0</v>
      </c>
      <c r="AQ6" s="257">
        <f t="shared" si="2"/>
        <v>0</v>
      </c>
      <c r="AR6" s="257">
        <f t="shared" si="2"/>
        <v>0</v>
      </c>
      <c r="AS6" s="257">
        <f t="shared" si="2"/>
        <v>0</v>
      </c>
      <c r="AT6" s="257">
        <f t="shared" si="2"/>
        <v>0</v>
      </c>
      <c r="AU6" s="257">
        <f t="shared" si="2"/>
        <v>0</v>
      </c>
      <c r="AV6" s="257">
        <f t="shared" si="2"/>
        <v>0</v>
      </c>
      <c r="AW6" s="257">
        <f t="shared" si="2"/>
        <v>0</v>
      </c>
      <c r="AX6" s="257">
        <f t="shared" si="2"/>
        <v>0</v>
      </c>
      <c r="AY6" s="257">
        <f t="shared" si="2"/>
        <v>0</v>
      </c>
      <c r="AZ6" s="257">
        <f t="shared" si="2"/>
        <v>0</v>
      </c>
      <c r="BA6" s="257">
        <f t="shared" si="2"/>
        <v>0</v>
      </c>
      <c r="BB6" s="257">
        <f t="shared" si="2"/>
        <v>0</v>
      </c>
      <c r="BC6" s="257">
        <f t="shared" si="2"/>
        <v>0</v>
      </c>
      <c r="BD6" s="257">
        <f t="shared" si="2"/>
        <v>0</v>
      </c>
      <c r="BE6" s="257">
        <f t="shared" si="2"/>
        <v>0</v>
      </c>
      <c r="BF6" s="257">
        <f t="shared" si="2"/>
        <v>0</v>
      </c>
      <c r="BG6" s="257">
        <f t="shared" si="2"/>
        <v>0</v>
      </c>
      <c r="BH6" s="257">
        <f t="shared" si="2"/>
        <v>0</v>
      </c>
      <c r="BI6" s="257">
        <f t="shared" si="2"/>
        <v>0</v>
      </c>
      <c r="BJ6" s="257">
        <f t="shared" si="2"/>
        <v>0</v>
      </c>
      <c r="BK6" s="257">
        <f t="shared" si="2"/>
        <v>0</v>
      </c>
      <c r="BL6" s="257">
        <f t="shared" si="2"/>
        <v>0</v>
      </c>
      <c r="BM6" s="257">
        <f t="shared" si="2"/>
        <v>0</v>
      </c>
      <c r="BN6" s="257">
        <f t="shared" si="2"/>
        <v>0</v>
      </c>
      <c r="BO6" s="257">
        <f t="shared" si="2"/>
        <v>0</v>
      </c>
      <c r="BP6" s="257">
        <f t="shared" si="2"/>
        <v>0</v>
      </c>
      <c r="BQ6" s="257">
        <f t="shared" si="2"/>
        <v>0</v>
      </c>
      <c r="BR6" s="257">
        <f t="shared" si="2"/>
        <v>0</v>
      </c>
      <c r="BS6" s="257">
        <f t="shared" si="2"/>
        <v>0</v>
      </c>
      <c r="BT6" s="257">
        <f t="shared" si="2"/>
        <v>0</v>
      </c>
      <c r="BU6" s="257">
        <f t="shared" si="2"/>
        <v>0</v>
      </c>
      <c r="BV6" s="257">
        <f t="shared" si="2"/>
        <v>0</v>
      </c>
      <c r="BW6" s="257">
        <f t="shared" si="2"/>
        <v>0</v>
      </c>
      <c r="BX6" s="257">
        <f aca="true" t="shared" si="3" ref="BX6:DF6">IF(BX2&lt;=$B$6,$F$6,0)</f>
        <v>0</v>
      </c>
      <c r="BY6" s="257">
        <f t="shared" si="3"/>
        <v>0</v>
      </c>
      <c r="BZ6" s="257">
        <f t="shared" si="3"/>
        <v>0</v>
      </c>
      <c r="CA6" s="257">
        <f t="shared" si="3"/>
        <v>0</v>
      </c>
      <c r="CB6" s="257">
        <f t="shared" si="3"/>
        <v>0</v>
      </c>
      <c r="CC6" s="257">
        <f t="shared" si="3"/>
        <v>0</v>
      </c>
      <c r="CD6" s="257">
        <f t="shared" si="3"/>
        <v>0</v>
      </c>
      <c r="CE6" s="257">
        <f t="shared" si="3"/>
        <v>0</v>
      </c>
      <c r="CF6" s="257">
        <f t="shared" si="3"/>
        <v>0</v>
      </c>
      <c r="CG6" s="257">
        <f t="shared" si="3"/>
        <v>0</v>
      </c>
      <c r="CH6" s="257">
        <f t="shared" si="3"/>
        <v>0</v>
      </c>
      <c r="CI6" s="257">
        <f t="shared" si="3"/>
        <v>0</v>
      </c>
      <c r="CJ6" s="257">
        <f t="shared" si="3"/>
        <v>0</v>
      </c>
      <c r="CK6" s="257">
        <f t="shared" si="3"/>
        <v>0</v>
      </c>
      <c r="CL6" s="257">
        <f t="shared" si="3"/>
        <v>0</v>
      </c>
      <c r="CM6" s="257">
        <f t="shared" si="3"/>
        <v>0</v>
      </c>
      <c r="CN6" s="257">
        <f t="shared" si="3"/>
        <v>0</v>
      </c>
      <c r="CO6" s="257">
        <f t="shared" si="3"/>
        <v>0</v>
      </c>
      <c r="CP6" s="257">
        <f t="shared" si="3"/>
        <v>0</v>
      </c>
      <c r="CQ6" s="257">
        <f t="shared" si="3"/>
        <v>0</v>
      </c>
      <c r="CR6" s="257">
        <f t="shared" si="3"/>
        <v>0</v>
      </c>
      <c r="CS6" s="257">
        <f t="shared" si="3"/>
        <v>0</v>
      </c>
      <c r="CT6" s="257">
        <f t="shared" si="3"/>
        <v>0</v>
      </c>
      <c r="CU6" s="257">
        <f t="shared" si="3"/>
        <v>0</v>
      </c>
      <c r="CV6" s="257">
        <f t="shared" si="3"/>
        <v>0</v>
      </c>
      <c r="CW6" s="257">
        <f t="shared" si="3"/>
        <v>0</v>
      </c>
      <c r="CX6" s="257">
        <f t="shared" si="3"/>
        <v>0</v>
      </c>
      <c r="CY6" s="257">
        <f t="shared" si="3"/>
        <v>0</v>
      </c>
      <c r="CZ6" s="257">
        <f t="shared" si="3"/>
        <v>0</v>
      </c>
      <c r="DA6" s="257">
        <f t="shared" si="3"/>
        <v>0</v>
      </c>
      <c r="DB6" s="257">
        <f t="shared" si="3"/>
        <v>0</v>
      </c>
      <c r="DC6" s="257">
        <f t="shared" si="3"/>
        <v>0</v>
      </c>
      <c r="DD6" s="257">
        <f t="shared" si="3"/>
        <v>0</v>
      </c>
      <c r="DE6" s="257">
        <f t="shared" si="3"/>
        <v>0</v>
      </c>
      <c r="DF6" s="257">
        <f t="shared" si="3"/>
        <v>0</v>
      </c>
    </row>
    <row r="7" spans="1:110" ht="18" customHeight="1">
      <c r="A7" s="134" t="s">
        <v>344</v>
      </c>
      <c r="B7" s="134">
        <v>1</v>
      </c>
      <c r="C7" s="134" t="s">
        <v>17</v>
      </c>
      <c r="D7" s="134">
        <f>IF('Farm and Buffer Assumptions'!C53=1,'Farm and Buffer Assumptions'!C46,0)</f>
        <v>0</v>
      </c>
      <c r="E7" s="244">
        <v>1</v>
      </c>
      <c r="F7" s="257">
        <f>E7*D7</f>
        <v>0</v>
      </c>
      <c r="G7" s="753">
        <f>F7</f>
        <v>0</v>
      </c>
      <c r="H7" s="133"/>
      <c r="J7" s="134" t="s">
        <v>345</v>
      </c>
      <c r="K7" s="257">
        <f>F7</f>
        <v>0</v>
      </c>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row>
    <row r="8" spans="1:110" ht="18" customHeight="1">
      <c r="A8" s="260" t="s">
        <v>346</v>
      </c>
      <c r="B8" s="260"/>
      <c r="C8" s="137"/>
      <c r="D8" s="137"/>
      <c r="E8" s="137"/>
      <c r="F8" s="261">
        <f>SUM(F4:F7)</f>
        <v>630</v>
      </c>
      <c r="G8" s="754">
        <f>SUM(G4:G7)</f>
        <v>4165.366925254344</v>
      </c>
      <c r="H8" s="301"/>
      <c r="J8" s="134" t="s">
        <v>347</v>
      </c>
      <c r="K8" s="257">
        <f>G12</f>
        <v>50</v>
      </c>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row>
    <row r="9" spans="6:110" ht="18" customHeight="1">
      <c r="F9" s="29"/>
      <c r="G9" s="264"/>
      <c r="H9" s="133"/>
      <c r="J9" s="134" t="s">
        <v>348</v>
      </c>
      <c r="K9" s="257">
        <f>$F$16</f>
        <v>350</v>
      </c>
      <c r="L9" s="257">
        <f>$F$16</f>
        <v>350</v>
      </c>
      <c r="M9" s="257">
        <f aca="true" t="shared" si="4" ref="M9:BX9">$F$16</f>
        <v>350</v>
      </c>
      <c r="N9" s="257">
        <f t="shared" si="4"/>
        <v>350</v>
      </c>
      <c r="O9" s="257">
        <f t="shared" si="4"/>
        <v>350</v>
      </c>
      <c r="P9" s="257">
        <f t="shared" si="4"/>
        <v>350</v>
      </c>
      <c r="Q9" s="257">
        <f t="shared" si="4"/>
        <v>350</v>
      </c>
      <c r="R9" s="257">
        <f t="shared" si="4"/>
        <v>350</v>
      </c>
      <c r="S9" s="257">
        <f t="shared" si="4"/>
        <v>350</v>
      </c>
      <c r="T9" s="257">
        <f t="shared" si="4"/>
        <v>350</v>
      </c>
      <c r="U9" s="257">
        <f t="shared" si="4"/>
        <v>350</v>
      </c>
      <c r="V9" s="257">
        <f t="shared" si="4"/>
        <v>350</v>
      </c>
      <c r="W9" s="257">
        <f t="shared" si="4"/>
        <v>350</v>
      </c>
      <c r="X9" s="257">
        <f t="shared" si="4"/>
        <v>350</v>
      </c>
      <c r="Y9" s="257">
        <f t="shared" si="4"/>
        <v>350</v>
      </c>
      <c r="Z9" s="257">
        <f t="shared" si="4"/>
        <v>350</v>
      </c>
      <c r="AA9" s="257">
        <f t="shared" si="4"/>
        <v>350</v>
      </c>
      <c r="AB9" s="257">
        <f t="shared" si="4"/>
        <v>350</v>
      </c>
      <c r="AC9" s="257">
        <f t="shared" si="4"/>
        <v>350</v>
      </c>
      <c r="AD9" s="257">
        <f t="shared" si="4"/>
        <v>350</v>
      </c>
      <c r="AE9" s="257">
        <f t="shared" si="4"/>
        <v>350</v>
      </c>
      <c r="AF9" s="257">
        <f t="shared" si="4"/>
        <v>350</v>
      </c>
      <c r="AG9" s="257">
        <f t="shared" si="4"/>
        <v>350</v>
      </c>
      <c r="AH9" s="257">
        <f t="shared" si="4"/>
        <v>350</v>
      </c>
      <c r="AI9" s="257">
        <f t="shared" si="4"/>
        <v>350</v>
      </c>
      <c r="AJ9" s="257">
        <f t="shared" si="4"/>
        <v>350</v>
      </c>
      <c r="AK9" s="257">
        <f t="shared" si="4"/>
        <v>350</v>
      </c>
      <c r="AL9" s="257">
        <f t="shared" si="4"/>
        <v>350</v>
      </c>
      <c r="AM9" s="257">
        <f t="shared" si="4"/>
        <v>350</v>
      </c>
      <c r="AN9" s="257">
        <f t="shared" si="4"/>
        <v>350</v>
      </c>
      <c r="AO9" s="257">
        <f t="shared" si="4"/>
        <v>350</v>
      </c>
      <c r="AP9" s="257">
        <f t="shared" si="4"/>
        <v>350</v>
      </c>
      <c r="AQ9" s="257">
        <f t="shared" si="4"/>
        <v>350</v>
      </c>
      <c r="AR9" s="257">
        <f t="shared" si="4"/>
        <v>350</v>
      </c>
      <c r="AS9" s="257">
        <f t="shared" si="4"/>
        <v>350</v>
      </c>
      <c r="AT9" s="257">
        <f t="shared" si="4"/>
        <v>350</v>
      </c>
      <c r="AU9" s="257">
        <f t="shared" si="4"/>
        <v>350</v>
      </c>
      <c r="AV9" s="257">
        <f t="shared" si="4"/>
        <v>350</v>
      </c>
      <c r="AW9" s="257">
        <f t="shared" si="4"/>
        <v>350</v>
      </c>
      <c r="AX9" s="257">
        <f t="shared" si="4"/>
        <v>350</v>
      </c>
      <c r="AY9" s="257">
        <f t="shared" si="4"/>
        <v>350</v>
      </c>
      <c r="AZ9" s="257">
        <f t="shared" si="4"/>
        <v>350</v>
      </c>
      <c r="BA9" s="257">
        <f t="shared" si="4"/>
        <v>350</v>
      </c>
      <c r="BB9" s="257">
        <f t="shared" si="4"/>
        <v>350</v>
      </c>
      <c r="BC9" s="257">
        <f t="shared" si="4"/>
        <v>350</v>
      </c>
      <c r="BD9" s="257">
        <f t="shared" si="4"/>
        <v>350</v>
      </c>
      <c r="BE9" s="257">
        <f t="shared" si="4"/>
        <v>350</v>
      </c>
      <c r="BF9" s="257">
        <f t="shared" si="4"/>
        <v>350</v>
      </c>
      <c r="BG9" s="257">
        <f t="shared" si="4"/>
        <v>350</v>
      </c>
      <c r="BH9" s="257">
        <f t="shared" si="4"/>
        <v>350</v>
      </c>
      <c r="BI9" s="257">
        <f t="shared" si="4"/>
        <v>350</v>
      </c>
      <c r="BJ9" s="257">
        <f t="shared" si="4"/>
        <v>350</v>
      </c>
      <c r="BK9" s="257">
        <f t="shared" si="4"/>
        <v>350</v>
      </c>
      <c r="BL9" s="257">
        <f t="shared" si="4"/>
        <v>350</v>
      </c>
      <c r="BM9" s="257">
        <f t="shared" si="4"/>
        <v>350</v>
      </c>
      <c r="BN9" s="257">
        <f t="shared" si="4"/>
        <v>350</v>
      </c>
      <c r="BO9" s="257">
        <f t="shared" si="4"/>
        <v>350</v>
      </c>
      <c r="BP9" s="257">
        <f t="shared" si="4"/>
        <v>350</v>
      </c>
      <c r="BQ9" s="257">
        <f t="shared" si="4"/>
        <v>350</v>
      </c>
      <c r="BR9" s="257">
        <f t="shared" si="4"/>
        <v>350</v>
      </c>
      <c r="BS9" s="257">
        <f t="shared" si="4"/>
        <v>350</v>
      </c>
      <c r="BT9" s="257">
        <f t="shared" si="4"/>
        <v>350</v>
      </c>
      <c r="BU9" s="257">
        <f t="shared" si="4"/>
        <v>350</v>
      </c>
      <c r="BV9" s="257">
        <f t="shared" si="4"/>
        <v>350</v>
      </c>
      <c r="BW9" s="257">
        <f t="shared" si="4"/>
        <v>350</v>
      </c>
      <c r="BX9" s="257">
        <f t="shared" si="4"/>
        <v>350</v>
      </c>
      <c r="BY9" s="257">
        <f aca="true" t="shared" si="5" ref="BY9:DF9">$F$16</f>
        <v>350</v>
      </c>
      <c r="BZ9" s="257">
        <f t="shared" si="5"/>
        <v>350</v>
      </c>
      <c r="CA9" s="257">
        <f t="shared" si="5"/>
        <v>350</v>
      </c>
      <c r="CB9" s="257">
        <f t="shared" si="5"/>
        <v>350</v>
      </c>
      <c r="CC9" s="257">
        <f t="shared" si="5"/>
        <v>350</v>
      </c>
      <c r="CD9" s="257">
        <f t="shared" si="5"/>
        <v>350</v>
      </c>
      <c r="CE9" s="257">
        <f t="shared" si="5"/>
        <v>350</v>
      </c>
      <c r="CF9" s="257">
        <f t="shared" si="5"/>
        <v>350</v>
      </c>
      <c r="CG9" s="257">
        <f t="shared" si="5"/>
        <v>350</v>
      </c>
      <c r="CH9" s="257">
        <f t="shared" si="5"/>
        <v>350</v>
      </c>
      <c r="CI9" s="257">
        <f t="shared" si="5"/>
        <v>350</v>
      </c>
      <c r="CJ9" s="257">
        <f t="shared" si="5"/>
        <v>350</v>
      </c>
      <c r="CK9" s="257">
        <f t="shared" si="5"/>
        <v>350</v>
      </c>
      <c r="CL9" s="257">
        <f t="shared" si="5"/>
        <v>350</v>
      </c>
      <c r="CM9" s="257">
        <f t="shared" si="5"/>
        <v>350</v>
      </c>
      <c r="CN9" s="257">
        <f t="shared" si="5"/>
        <v>350</v>
      </c>
      <c r="CO9" s="257">
        <f t="shared" si="5"/>
        <v>350</v>
      </c>
      <c r="CP9" s="257">
        <f t="shared" si="5"/>
        <v>350</v>
      </c>
      <c r="CQ9" s="257">
        <f t="shared" si="5"/>
        <v>350</v>
      </c>
      <c r="CR9" s="257">
        <f t="shared" si="5"/>
        <v>350</v>
      </c>
      <c r="CS9" s="257">
        <f t="shared" si="5"/>
        <v>350</v>
      </c>
      <c r="CT9" s="257">
        <f t="shared" si="5"/>
        <v>350</v>
      </c>
      <c r="CU9" s="257">
        <f t="shared" si="5"/>
        <v>350</v>
      </c>
      <c r="CV9" s="257">
        <f t="shared" si="5"/>
        <v>350</v>
      </c>
      <c r="CW9" s="257">
        <f t="shared" si="5"/>
        <v>350</v>
      </c>
      <c r="CX9" s="257">
        <f t="shared" si="5"/>
        <v>350</v>
      </c>
      <c r="CY9" s="257">
        <f t="shared" si="5"/>
        <v>350</v>
      </c>
      <c r="CZ9" s="257">
        <f t="shared" si="5"/>
        <v>350</v>
      </c>
      <c r="DA9" s="257">
        <f t="shared" si="5"/>
        <v>350</v>
      </c>
      <c r="DB9" s="257">
        <f t="shared" si="5"/>
        <v>350</v>
      </c>
      <c r="DC9" s="257">
        <f t="shared" si="5"/>
        <v>350</v>
      </c>
      <c r="DD9" s="257">
        <f t="shared" si="5"/>
        <v>350</v>
      </c>
      <c r="DE9" s="257">
        <f t="shared" si="5"/>
        <v>350</v>
      </c>
      <c r="DF9" s="257">
        <f t="shared" si="5"/>
        <v>350</v>
      </c>
    </row>
    <row r="10" spans="1:110" ht="21" customHeight="1">
      <c r="A10" s="683" t="s">
        <v>349</v>
      </c>
      <c r="B10" s="683"/>
      <c r="C10" s="337"/>
      <c r="D10" s="337"/>
      <c r="E10" s="337"/>
      <c r="F10" s="650"/>
      <c r="G10" s="755"/>
      <c r="H10" s="655"/>
      <c r="J10" s="265" t="s">
        <v>350</v>
      </c>
      <c r="K10" s="240">
        <f aca="true" t="shared" si="6" ref="K10:BV10">SUM(K4:K7)-SUM(K8:K9)</f>
        <v>230</v>
      </c>
      <c r="L10" s="240">
        <f t="shared" si="6"/>
        <v>230</v>
      </c>
      <c r="M10" s="240">
        <f t="shared" si="6"/>
        <v>230</v>
      </c>
      <c r="N10" s="240">
        <f t="shared" si="6"/>
        <v>230</v>
      </c>
      <c r="O10" s="240">
        <f t="shared" si="6"/>
        <v>230</v>
      </c>
      <c r="P10" s="240">
        <f t="shared" si="6"/>
        <v>-120</v>
      </c>
      <c r="Q10" s="240">
        <f t="shared" si="6"/>
        <v>-120</v>
      </c>
      <c r="R10" s="240">
        <f t="shared" si="6"/>
        <v>-120</v>
      </c>
      <c r="S10" s="240">
        <f t="shared" si="6"/>
        <v>-120</v>
      </c>
      <c r="T10" s="240">
        <f t="shared" si="6"/>
        <v>-120</v>
      </c>
      <c r="U10" s="240">
        <f t="shared" si="6"/>
        <v>-120</v>
      </c>
      <c r="V10" s="240">
        <f t="shared" si="6"/>
        <v>-120</v>
      </c>
      <c r="W10" s="240">
        <f t="shared" si="6"/>
        <v>-120</v>
      </c>
      <c r="X10" s="240">
        <f t="shared" si="6"/>
        <v>-120</v>
      </c>
      <c r="Y10" s="240">
        <f t="shared" si="6"/>
        <v>-120</v>
      </c>
      <c r="Z10" s="240">
        <f t="shared" si="6"/>
        <v>-350</v>
      </c>
      <c r="AA10" s="240">
        <f t="shared" si="6"/>
        <v>-350</v>
      </c>
      <c r="AB10" s="240">
        <f t="shared" si="6"/>
        <v>-350</v>
      </c>
      <c r="AC10" s="240">
        <f t="shared" si="6"/>
        <v>-350</v>
      </c>
      <c r="AD10" s="240">
        <f t="shared" si="6"/>
        <v>-350</v>
      </c>
      <c r="AE10" s="240">
        <f t="shared" si="6"/>
        <v>-350</v>
      </c>
      <c r="AF10" s="240">
        <f t="shared" si="6"/>
        <v>-350</v>
      </c>
      <c r="AG10" s="240">
        <f t="shared" si="6"/>
        <v>-350</v>
      </c>
      <c r="AH10" s="240">
        <f t="shared" si="6"/>
        <v>-350</v>
      </c>
      <c r="AI10" s="240">
        <f t="shared" si="6"/>
        <v>-350</v>
      </c>
      <c r="AJ10" s="240">
        <f t="shared" si="6"/>
        <v>-350</v>
      </c>
      <c r="AK10" s="240">
        <f t="shared" si="6"/>
        <v>-350</v>
      </c>
      <c r="AL10" s="240">
        <f t="shared" si="6"/>
        <v>-350</v>
      </c>
      <c r="AM10" s="240">
        <f t="shared" si="6"/>
        <v>-350</v>
      </c>
      <c r="AN10" s="240">
        <f t="shared" si="6"/>
        <v>-350</v>
      </c>
      <c r="AO10" s="240">
        <f t="shared" si="6"/>
        <v>-350</v>
      </c>
      <c r="AP10" s="240">
        <f t="shared" si="6"/>
        <v>-350</v>
      </c>
      <c r="AQ10" s="240">
        <f t="shared" si="6"/>
        <v>-350</v>
      </c>
      <c r="AR10" s="240">
        <f t="shared" si="6"/>
        <v>-350</v>
      </c>
      <c r="AS10" s="240">
        <f t="shared" si="6"/>
        <v>-350</v>
      </c>
      <c r="AT10" s="240">
        <f t="shared" si="6"/>
        <v>-350</v>
      </c>
      <c r="AU10" s="240">
        <f t="shared" si="6"/>
        <v>-350</v>
      </c>
      <c r="AV10" s="240">
        <f t="shared" si="6"/>
        <v>-350</v>
      </c>
      <c r="AW10" s="240">
        <f t="shared" si="6"/>
        <v>-350</v>
      </c>
      <c r="AX10" s="240">
        <f t="shared" si="6"/>
        <v>-350</v>
      </c>
      <c r="AY10" s="240">
        <f t="shared" si="6"/>
        <v>-350</v>
      </c>
      <c r="AZ10" s="240">
        <f t="shared" si="6"/>
        <v>-350</v>
      </c>
      <c r="BA10" s="240">
        <f t="shared" si="6"/>
        <v>-350</v>
      </c>
      <c r="BB10" s="240">
        <f t="shared" si="6"/>
        <v>-350</v>
      </c>
      <c r="BC10" s="240">
        <f t="shared" si="6"/>
        <v>-350</v>
      </c>
      <c r="BD10" s="240">
        <f t="shared" si="6"/>
        <v>-350</v>
      </c>
      <c r="BE10" s="240">
        <f t="shared" si="6"/>
        <v>-350</v>
      </c>
      <c r="BF10" s="240">
        <f t="shared" si="6"/>
        <v>-350</v>
      </c>
      <c r="BG10" s="240">
        <f t="shared" si="6"/>
        <v>-350</v>
      </c>
      <c r="BH10" s="240">
        <f t="shared" si="6"/>
        <v>-350</v>
      </c>
      <c r="BI10" s="240">
        <f t="shared" si="6"/>
        <v>-350</v>
      </c>
      <c r="BJ10" s="240">
        <f t="shared" si="6"/>
        <v>-350</v>
      </c>
      <c r="BK10" s="240">
        <f t="shared" si="6"/>
        <v>-350</v>
      </c>
      <c r="BL10" s="240">
        <f t="shared" si="6"/>
        <v>-350</v>
      </c>
      <c r="BM10" s="240">
        <f t="shared" si="6"/>
        <v>-350</v>
      </c>
      <c r="BN10" s="240">
        <f t="shared" si="6"/>
        <v>-350</v>
      </c>
      <c r="BO10" s="240">
        <f t="shared" si="6"/>
        <v>-350</v>
      </c>
      <c r="BP10" s="240">
        <f t="shared" si="6"/>
        <v>-350</v>
      </c>
      <c r="BQ10" s="240">
        <f t="shared" si="6"/>
        <v>-350</v>
      </c>
      <c r="BR10" s="240">
        <f t="shared" si="6"/>
        <v>-350</v>
      </c>
      <c r="BS10" s="240">
        <f t="shared" si="6"/>
        <v>-350</v>
      </c>
      <c r="BT10" s="240">
        <f t="shared" si="6"/>
        <v>-350</v>
      </c>
      <c r="BU10" s="240">
        <f t="shared" si="6"/>
        <v>-350</v>
      </c>
      <c r="BV10" s="240">
        <f t="shared" si="6"/>
        <v>-350</v>
      </c>
      <c r="BW10" s="240">
        <f aca="true" t="shared" si="7" ref="BW10:DB10">SUM(BW4:BW7)-SUM(BW8:BW9)</f>
        <v>-350</v>
      </c>
      <c r="BX10" s="240">
        <f t="shared" si="7"/>
        <v>-350</v>
      </c>
      <c r="BY10" s="240">
        <f t="shared" si="7"/>
        <v>-350</v>
      </c>
      <c r="BZ10" s="240">
        <f t="shared" si="7"/>
        <v>-350</v>
      </c>
      <c r="CA10" s="240">
        <f t="shared" si="7"/>
        <v>-350</v>
      </c>
      <c r="CB10" s="240">
        <f t="shared" si="7"/>
        <v>-350</v>
      </c>
      <c r="CC10" s="240">
        <f t="shared" si="7"/>
        <v>-350</v>
      </c>
      <c r="CD10" s="240">
        <f t="shared" si="7"/>
        <v>-350</v>
      </c>
      <c r="CE10" s="240">
        <f t="shared" si="7"/>
        <v>-350</v>
      </c>
      <c r="CF10" s="240">
        <f t="shared" si="7"/>
        <v>-350</v>
      </c>
      <c r="CG10" s="240">
        <f t="shared" si="7"/>
        <v>-350</v>
      </c>
      <c r="CH10" s="240">
        <f t="shared" si="7"/>
        <v>-350</v>
      </c>
      <c r="CI10" s="240">
        <f t="shared" si="7"/>
        <v>-350</v>
      </c>
      <c r="CJ10" s="240">
        <f t="shared" si="7"/>
        <v>-350</v>
      </c>
      <c r="CK10" s="240">
        <f t="shared" si="7"/>
        <v>-350</v>
      </c>
      <c r="CL10" s="240">
        <f t="shared" si="7"/>
        <v>-350</v>
      </c>
      <c r="CM10" s="240">
        <f t="shared" si="7"/>
        <v>-350</v>
      </c>
      <c r="CN10" s="240">
        <f t="shared" si="7"/>
        <v>-350</v>
      </c>
      <c r="CO10" s="240">
        <f t="shared" si="7"/>
        <v>-350</v>
      </c>
      <c r="CP10" s="240">
        <f t="shared" si="7"/>
        <v>-350</v>
      </c>
      <c r="CQ10" s="240">
        <f t="shared" si="7"/>
        <v>-350</v>
      </c>
      <c r="CR10" s="240">
        <f t="shared" si="7"/>
        <v>-350</v>
      </c>
      <c r="CS10" s="240">
        <f t="shared" si="7"/>
        <v>-350</v>
      </c>
      <c r="CT10" s="240">
        <f t="shared" si="7"/>
        <v>-350</v>
      </c>
      <c r="CU10" s="240">
        <f t="shared" si="7"/>
        <v>-350</v>
      </c>
      <c r="CV10" s="240">
        <f t="shared" si="7"/>
        <v>-350</v>
      </c>
      <c r="CW10" s="240">
        <f t="shared" si="7"/>
        <v>-350</v>
      </c>
      <c r="CX10" s="240">
        <f t="shared" si="7"/>
        <v>-350</v>
      </c>
      <c r="CY10" s="240">
        <f t="shared" si="7"/>
        <v>-350</v>
      </c>
      <c r="CZ10" s="240">
        <f t="shared" si="7"/>
        <v>-350</v>
      </c>
      <c r="DA10" s="240">
        <f t="shared" si="7"/>
        <v>-350</v>
      </c>
      <c r="DB10" s="240">
        <f t="shared" si="7"/>
        <v>-350</v>
      </c>
      <c r="DC10" s="240">
        <f>SUM(DC4:DC7)-SUM(DC8:DC9)</f>
        <v>-350</v>
      </c>
      <c r="DD10" s="240">
        <f>SUM(DD4:DD7)-SUM(DD8:DD9)</f>
        <v>-350</v>
      </c>
      <c r="DE10" s="240">
        <f>SUM(DE4:DE7)-SUM(DE8:DE9)</f>
        <v>-350</v>
      </c>
      <c r="DF10" s="240">
        <f>SUM(DF4:DF7)-SUM(DF8:DF9)</f>
        <v>-350</v>
      </c>
    </row>
    <row r="11" spans="1:11" ht="18" customHeight="1">
      <c r="A11" s="134" t="s">
        <v>351</v>
      </c>
      <c r="B11" s="134">
        <v>1</v>
      </c>
      <c r="C11" s="134" t="s">
        <v>17</v>
      </c>
      <c r="D11" s="266">
        <v>50</v>
      </c>
      <c r="E11" s="244">
        <v>1</v>
      </c>
      <c r="F11" s="257">
        <f>E11*D11</f>
        <v>50</v>
      </c>
      <c r="G11" s="756">
        <f>F11</f>
        <v>50</v>
      </c>
      <c r="H11" s="133"/>
      <c r="K11" s="268"/>
    </row>
    <row r="12" spans="1:16" ht="18" customHeight="1">
      <c r="A12" s="269" t="s">
        <v>352</v>
      </c>
      <c r="B12" s="270"/>
      <c r="C12" s="271"/>
      <c r="D12" s="272"/>
      <c r="E12" s="271"/>
      <c r="F12" s="272">
        <f>SUM(F11:F11)</f>
        <v>50</v>
      </c>
      <c r="G12" s="273">
        <f>SUM(G11:G11)</f>
        <v>50</v>
      </c>
      <c r="H12" s="301"/>
      <c r="K12" s="268"/>
      <c r="M12" s="274" t="s">
        <v>353</v>
      </c>
      <c r="N12" s="275"/>
      <c r="O12" s="275"/>
      <c r="P12" s="275"/>
    </row>
    <row r="13" spans="1:14" ht="18" customHeight="1">
      <c r="A13" s="276"/>
      <c r="B13" s="277"/>
      <c r="C13" s="278"/>
      <c r="D13" s="278"/>
      <c r="E13" s="278"/>
      <c r="F13" s="279"/>
      <c r="G13" s="280"/>
      <c r="H13" s="133"/>
      <c r="J13" s="56" t="s">
        <v>472</v>
      </c>
      <c r="K13" s="281">
        <f>NPV('Farm and Buffer Assumptions'!C29,K10:AD10)</f>
        <v>-641.2472954843502</v>
      </c>
      <c r="M13" s="282">
        <f>K4</f>
        <v>50</v>
      </c>
      <c r="N13" s="283" t="s">
        <v>338</v>
      </c>
    </row>
    <row r="14" spans="1:14" ht="21" customHeight="1">
      <c r="A14" s="683" t="s">
        <v>354</v>
      </c>
      <c r="B14" s="683"/>
      <c r="C14" s="337"/>
      <c r="D14" s="337"/>
      <c r="E14" s="337"/>
      <c r="F14" s="650"/>
      <c r="G14" s="755"/>
      <c r="H14" s="655"/>
      <c r="J14" s="56" t="s">
        <v>473</v>
      </c>
      <c r="K14" s="281">
        <f>NPV('Farm and Buffer Assumptions'!C29,K10:AN10)</f>
        <v>-1936.8447299782265</v>
      </c>
      <c r="M14" s="284">
        <f>NPV('Farm and Buffer Assumptions'!C29,K5:N5)</f>
        <v>1270.4633284898987</v>
      </c>
      <c r="N14" s="54" t="s">
        <v>355</v>
      </c>
    </row>
    <row r="15" spans="1:14" ht="32.25" customHeight="1">
      <c r="A15" s="134" t="s">
        <v>356</v>
      </c>
      <c r="B15" s="134" t="s">
        <v>357</v>
      </c>
      <c r="C15" s="134" t="s">
        <v>17</v>
      </c>
      <c r="D15" s="266">
        <f>Prices!C38</f>
        <v>350</v>
      </c>
      <c r="E15" s="244">
        <v>1</v>
      </c>
      <c r="F15" s="257">
        <f>E15*D15</f>
        <v>350</v>
      </c>
      <c r="G15" s="753">
        <f>F15/'Farm and Buffer Assumptions'!$C$29</f>
        <v>8750</v>
      </c>
      <c r="H15" s="133" t="s">
        <v>358</v>
      </c>
      <c r="J15" s="56" t="s">
        <v>474</v>
      </c>
      <c r="K15" s="281">
        <f>NPV('Farm and Buffer Assumptions'!C29,K10:AX10)</f>
        <v>-2812.1039339449194</v>
      </c>
      <c r="M15" s="285">
        <f>NPV('Farm and Buffer Assumptions'!C29,K6:Y6)</f>
        <v>2557.2291093986673</v>
      </c>
      <c r="N15" s="283" t="s">
        <v>342</v>
      </c>
    </row>
    <row r="16" spans="1:14" ht="18" customHeight="1">
      <c r="A16" s="286" t="s">
        <v>359</v>
      </c>
      <c r="B16" s="278"/>
      <c r="C16" s="278"/>
      <c r="D16" s="278"/>
      <c r="E16" s="278"/>
      <c r="F16" s="272">
        <f>SUM(F15:F15)</f>
        <v>350</v>
      </c>
      <c r="G16" s="273">
        <f>SUM(G15:G15)</f>
        <v>8750</v>
      </c>
      <c r="H16" s="133"/>
      <c r="J16" s="56" t="s">
        <v>475</v>
      </c>
      <c r="K16" s="281">
        <f>NPV('Farm and Buffer Assumptions'!C29,K10:BH10)</f>
        <v>-3403.3976905798086</v>
      </c>
      <c r="M16" s="284">
        <f>K7</f>
        <v>0</v>
      </c>
      <c r="N16" s="283" t="s">
        <v>344</v>
      </c>
    </row>
    <row r="17" spans="1:14" ht="18" customHeight="1">
      <c r="A17" s="134"/>
      <c r="B17" s="134"/>
      <c r="C17" s="134"/>
      <c r="D17" s="266"/>
      <c r="E17" s="244"/>
      <c r="F17" s="244"/>
      <c r="G17" s="756"/>
      <c r="H17" s="133"/>
      <c r="J17" s="56" t="s">
        <v>476</v>
      </c>
      <c r="K17" s="281">
        <f>NPV('Farm and Buffer Assumptions'!C29,K10:BR10)</f>
        <v>-3802.8545658127423</v>
      </c>
      <c r="M17" s="287">
        <f>K8</f>
        <v>50</v>
      </c>
      <c r="N17" s="288" t="s">
        <v>360</v>
      </c>
    </row>
    <row r="18" spans="1:14" ht="18" customHeight="1">
      <c r="A18" s="260" t="s">
        <v>361</v>
      </c>
      <c r="B18" s="260"/>
      <c r="C18" s="260"/>
      <c r="D18" s="289"/>
      <c r="E18" s="290"/>
      <c r="F18" s="290"/>
      <c r="G18" s="757">
        <f>G12+G16</f>
        <v>8800</v>
      </c>
      <c r="H18" s="300"/>
      <c r="J18" s="56" t="s">
        <v>477</v>
      </c>
      <c r="K18" s="281">
        <f>NPV('Farm and Buffer Assumptions'!C29,K10:CB10)</f>
        <v>-4072.713317711229</v>
      </c>
      <c r="M18" s="284">
        <f>NPV('Farm and Buffer Assumptions'!C29,K9:DF9)</f>
        <v>8576.749649003184</v>
      </c>
      <c r="N18" t="s">
        <v>362</v>
      </c>
    </row>
    <row r="19" spans="1:13" ht="18" customHeight="1">
      <c r="A19" s="134"/>
      <c r="B19" s="134"/>
      <c r="C19" s="134"/>
      <c r="D19" s="134"/>
      <c r="E19" s="134"/>
      <c r="F19" s="257"/>
      <c r="G19" s="753"/>
      <c r="H19" s="133"/>
      <c r="J19" s="56" t="s">
        <v>478</v>
      </c>
      <c r="K19" s="281">
        <f>NPV('Farm and Buffer Assumptions'!C29,K10:CL10)</f>
        <v>-4255.020221137898</v>
      </c>
      <c r="M19" s="284"/>
    </row>
    <row r="20" spans="1:14" ht="18" customHeight="1">
      <c r="A20" s="137" t="s">
        <v>363</v>
      </c>
      <c r="B20" s="137"/>
      <c r="C20" s="137"/>
      <c r="D20" s="137"/>
      <c r="E20" s="137"/>
      <c r="F20" s="281"/>
      <c r="G20" s="758">
        <f>G8-G18</f>
        <v>-4634.633074745656</v>
      </c>
      <c r="H20" s="301"/>
      <c r="J20" s="56" t="s">
        <v>479</v>
      </c>
      <c r="K20" s="281">
        <f>NPV('Farm and Buffer Assumptions'!C29,K10:CV10)</f>
        <v>-4378.180232822541</v>
      </c>
      <c r="M20" s="292">
        <f>SUM(M13:M16)-SUM(M17:M19)</f>
        <v>-4749.057211114618</v>
      </c>
      <c r="N20" t="s">
        <v>364</v>
      </c>
    </row>
    <row r="21" spans="1:11" ht="37.5" customHeight="1">
      <c r="A21" s="817" t="s">
        <v>482</v>
      </c>
      <c r="B21" s="814"/>
      <c r="C21" s="814"/>
      <c r="D21" s="814"/>
      <c r="E21" s="814"/>
      <c r="F21" s="814"/>
      <c r="G21" s="814"/>
      <c r="H21" s="814"/>
      <c r="J21" s="56" t="s">
        <v>480</v>
      </c>
      <c r="K21" s="281">
        <f>NPV('Farm and Buffer Assumptions'!C29,K10:DF10)</f>
        <v>-4461.382723748853</v>
      </c>
    </row>
    <row r="22" spans="1:11" ht="27" customHeight="1">
      <c r="A22" s="819" t="s">
        <v>365</v>
      </c>
      <c r="B22" s="814"/>
      <c r="C22" s="814"/>
      <c r="D22" s="814"/>
      <c r="E22" s="814"/>
      <c r="F22" s="814"/>
      <c r="G22" s="814"/>
      <c r="H22" s="814"/>
      <c r="J22" t="s">
        <v>366</v>
      </c>
      <c r="K22" s="294">
        <f>K21-G20</f>
        <v>173.2503509968028</v>
      </c>
    </row>
    <row r="23" spans="1:8" ht="21" customHeight="1">
      <c r="A23" s="814" t="s">
        <v>367</v>
      </c>
      <c r="B23" s="814"/>
      <c r="C23" s="814"/>
      <c r="D23" s="814"/>
      <c r="E23" s="814"/>
      <c r="F23" s="814"/>
      <c r="G23" s="814"/>
      <c r="H23" s="814"/>
    </row>
    <row r="24" spans="1:8" ht="36.75" customHeight="1">
      <c r="A24" s="814" t="s">
        <v>483</v>
      </c>
      <c r="B24" s="814"/>
      <c r="C24" s="814"/>
      <c r="D24" s="814"/>
      <c r="E24" s="814"/>
      <c r="F24" s="814"/>
      <c r="G24" s="814"/>
      <c r="H24" s="814"/>
    </row>
    <row r="25" spans="1:11" ht="29.25" customHeight="1" thickBot="1">
      <c r="A25" s="2"/>
      <c r="B25" s="2"/>
      <c r="C25" s="2"/>
      <c r="D25" s="2"/>
      <c r="E25" s="2"/>
      <c r="H25" s="2"/>
      <c r="K25" t="s">
        <v>331</v>
      </c>
    </row>
    <row r="26" spans="1:110" ht="39" customHeight="1" thickBot="1">
      <c r="A26" s="675" t="s">
        <v>368</v>
      </c>
      <c r="B26" s="676" t="s">
        <v>333</v>
      </c>
      <c r="C26" s="652" t="s">
        <v>2</v>
      </c>
      <c r="D26" s="653" t="s">
        <v>3</v>
      </c>
      <c r="E26" s="653" t="s">
        <v>4</v>
      </c>
      <c r="F26" s="653" t="s">
        <v>5</v>
      </c>
      <c r="G26" s="653" t="s">
        <v>334</v>
      </c>
      <c r="H26" s="652" t="s">
        <v>335</v>
      </c>
      <c r="J26" s="256" t="s">
        <v>336</v>
      </c>
      <c r="K26" s="134">
        <v>1</v>
      </c>
      <c r="L26" s="134">
        <v>2</v>
      </c>
      <c r="M26" s="134">
        <v>3</v>
      </c>
      <c r="N26" s="134">
        <v>4</v>
      </c>
      <c r="O26" s="134">
        <v>5</v>
      </c>
      <c r="P26" s="134">
        <v>6</v>
      </c>
      <c r="Q26" s="134">
        <v>7</v>
      </c>
      <c r="R26" s="134">
        <v>8</v>
      </c>
      <c r="S26" s="134">
        <v>9</v>
      </c>
      <c r="T26" s="134">
        <v>10</v>
      </c>
      <c r="U26" s="134">
        <v>11</v>
      </c>
      <c r="V26" s="134">
        <v>12</v>
      </c>
      <c r="W26" s="134">
        <v>13</v>
      </c>
      <c r="X26" s="134">
        <v>14</v>
      </c>
      <c r="Y26" s="134">
        <v>15</v>
      </c>
      <c r="Z26" s="132">
        <v>16</v>
      </c>
      <c r="AA26" s="132">
        <v>17</v>
      </c>
      <c r="AB26" s="132">
        <v>18</v>
      </c>
      <c r="AC26" s="132">
        <v>19</v>
      </c>
      <c r="AD26" s="132">
        <v>20</v>
      </c>
      <c r="AE26" s="132">
        <v>21</v>
      </c>
      <c r="AF26" s="132">
        <v>22</v>
      </c>
      <c r="AG26" s="132">
        <v>23</v>
      </c>
      <c r="AH26" s="132">
        <v>24</v>
      </c>
      <c r="AI26" s="132">
        <v>25</v>
      </c>
      <c r="AJ26" s="132">
        <v>26</v>
      </c>
      <c r="AK26" s="132">
        <v>27</v>
      </c>
      <c r="AL26" s="132">
        <v>28</v>
      </c>
      <c r="AM26" s="132">
        <v>29</v>
      </c>
      <c r="AN26" s="132">
        <v>30</v>
      </c>
      <c r="AO26" s="132">
        <v>31</v>
      </c>
      <c r="AP26" s="132">
        <v>32</v>
      </c>
      <c r="AQ26" s="132">
        <v>33</v>
      </c>
      <c r="AR26" s="132">
        <v>34</v>
      </c>
      <c r="AS26" s="132">
        <v>35</v>
      </c>
      <c r="AT26" s="132">
        <v>36</v>
      </c>
      <c r="AU26" s="132">
        <v>37</v>
      </c>
      <c r="AV26" s="132">
        <v>38</v>
      </c>
      <c r="AW26" s="132">
        <v>39</v>
      </c>
      <c r="AX26" s="132">
        <v>40</v>
      </c>
      <c r="AY26" s="132">
        <v>41</v>
      </c>
      <c r="AZ26" s="132">
        <v>42</v>
      </c>
      <c r="BA26" s="132">
        <v>43</v>
      </c>
      <c r="BB26" s="132">
        <v>44</v>
      </c>
      <c r="BC26" s="132">
        <v>45</v>
      </c>
      <c r="BD26" s="132">
        <v>46</v>
      </c>
      <c r="BE26" s="132">
        <v>47</v>
      </c>
      <c r="BF26" s="132">
        <v>48</v>
      </c>
      <c r="BG26" s="132">
        <v>49</v>
      </c>
      <c r="BH26" s="132">
        <v>50</v>
      </c>
      <c r="BI26" s="132">
        <v>51</v>
      </c>
      <c r="BJ26" s="132">
        <v>52</v>
      </c>
      <c r="BK26" s="132">
        <v>53</v>
      </c>
      <c r="BL26" s="132">
        <v>54</v>
      </c>
      <c r="BM26" s="132">
        <v>55</v>
      </c>
      <c r="BN26" s="132">
        <v>56</v>
      </c>
      <c r="BO26" s="132">
        <v>57</v>
      </c>
      <c r="BP26" s="132">
        <v>58</v>
      </c>
      <c r="BQ26" s="132">
        <v>59</v>
      </c>
      <c r="BR26" s="132">
        <v>60</v>
      </c>
      <c r="BS26" s="132">
        <v>61</v>
      </c>
      <c r="BT26" s="132">
        <v>62</v>
      </c>
      <c r="BU26" s="132">
        <v>63</v>
      </c>
      <c r="BV26" s="132">
        <v>64</v>
      </c>
      <c r="BW26" s="132">
        <v>65</v>
      </c>
      <c r="BX26" s="132">
        <v>66</v>
      </c>
      <c r="BY26" s="132">
        <v>67</v>
      </c>
      <c r="BZ26" s="132">
        <v>68</v>
      </c>
      <c r="CA26" s="132">
        <v>69</v>
      </c>
      <c r="CB26" s="132">
        <v>70</v>
      </c>
      <c r="CC26" s="132">
        <v>71</v>
      </c>
      <c r="CD26" s="132">
        <v>72</v>
      </c>
      <c r="CE26" s="132">
        <v>73</v>
      </c>
      <c r="CF26" s="132">
        <v>74</v>
      </c>
      <c r="CG26" s="132">
        <v>75</v>
      </c>
      <c r="CH26" s="132">
        <v>76</v>
      </c>
      <c r="CI26" s="132">
        <v>77</v>
      </c>
      <c r="CJ26" s="132">
        <v>78</v>
      </c>
      <c r="CK26" s="132">
        <v>79</v>
      </c>
      <c r="CL26" s="132">
        <v>80</v>
      </c>
      <c r="CM26" s="132">
        <v>81</v>
      </c>
      <c r="CN26" s="132">
        <v>82</v>
      </c>
      <c r="CO26" s="132">
        <v>83</v>
      </c>
      <c r="CP26" s="132">
        <v>84</v>
      </c>
      <c r="CQ26" s="132">
        <v>85</v>
      </c>
      <c r="CR26" s="132">
        <v>86</v>
      </c>
      <c r="CS26" s="132">
        <v>87</v>
      </c>
      <c r="CT26" s="132">
        <v>88</v>
      </c>
      <c r="CU26" s="132">
        <v>89</v>
      </c>
      <c r="CV26" s="132">
        <v>90</v>
      </c>
      <c r="CW26" s="132">
        <v>91</v>
      </c>
      <c r="CX26" s="132">
        <v>92</v>
      </c>
      <c r="CY26" s="132">
        <v>93</v>
      </c>
      <c r="CZ26" s="132">
        <v>94</v>
      </c>
      <c r="DA26" s="132">
        <v>95</v>
      </c>
      <c r="DB26" s="132">
        <v>96</v>
      </c>
      <c r="DC26" s="132">
        <v>97</v>
      </c>
      <c r="DD26" s="132">
        <v>98</v>
      </c>
      <c r="DE26" s="132">
        <v>99</v>
      </c>
      <c r="DF26" s="132">
        <v>100</v>
      </c>
    </row>
    <row r="27" spans="1:110" ht="23.25" customHeight="1" thickBot="1">
      <c r="A27" s="679" t="s">
        <v>399</v>
      </c>
      <c r="B27" s="680"/>
      <c r="C27" s="658"/>
      <c r="D27" s="659"/>
      <c r="E27" s="681"/>
      <c r="F27" s="659"/>
      <c r="G27" s="681"/>
      <c r="H27" s="682"/>
      <c r="J27" s="134" t="s">
        <v>337</v>
      </c>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row>
    <row r="28" spans="1:110" ht="18" customHeight="1" thickBot="1">
      <c r="A28" s="133" t="s">
        <v>338</v>
      </c>
      <c r="B28" s="133">
        <v>1</v>
      </c>
      <c r="C28" s="133" t="s">
        <v>17</v>
      </c>
      <c r="D28" s="134">
        <f>IF('Farm and Buffer Assumptions'!C59=1,F37*'Farm and Buffer Assumptions'!C47)</f>
        <v>1510</v>
      </c>
      <c r="E28" s="204">
        <v>1</v>
      </c>
      <c r="F28" s="203">
        <f>E28*D28</f>
        <v>1510</v>
      </c>
      <c r="G28" s="295">
        <f>F28</f>
        <v>1510</v>
      </c>
      <c r="H28" s="259"/>
      <c r="J28" s="134" t="s">
        <v>339</v>
      </c>
      <c r="K28" s="257">
        <f>F28</f>
        <v>1510</v>
      </c>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row>
    <row r="29" spans="1:110" ht="18" customHeight="1" thickBot="1">
      <c r="A29" s="133" t="s">
        <v>340</v>
      </c>
      <c r="B29" s="134">
        <f>'Farm and Buffer Assumptions'!C50</f>
        <v>5</v>
      </c>
      <c r="C29" s="134" t="s">
        <v>17</v>
      </c>
      <c r="D29" s="134">
        <f>IF('Farm and Buffer Assumptions'!C60=1,F41*'Farm and Buffer Assumptions'!C48,0)</f>
        <v>100</v>
      </c>
      <c r="E29" s="244">
        <v>1</v>
      </c>
      <c r="F29" s="257">
        <f>E29*D29</f>
        <v>100</v>
      </c>
      <c r="G29" s="258">
        <f>-PV('Farm and Buffer Assumptions'!C29,B29,F29)</f>
        <v>445.1822331016211</v>
      </c>
      <c r="H29" s="259"/>
      <c r="J29" s="134" t="s">
        <v>341</v>
      </c>
      <c r="K29" s="134">
        <v>0</v>
      </c>
      <c r="L29" s="257">
        <f aca="true" t="shared" si="8" ref="L29:BW29">IF(L26=($B$29+1),$F$29,IF(L26&lt;=$B$29,$F$29,0))</f>
        <v>100</v>
      </c>
      <c r="M29" s="257">
        <f t="shared" si="8"/>
        <v>100</v>
      </c>
      <c r="N29" s="257">
        <f t="shared" si="8"/>
        <v>100</v>
      </c>
      <c r="O29" s="257">
        <f t="shared" si="8"/>
        <v>100</v>
      </c>
      <c r="P29" s="257">
        <f t="shared" si="8"/>
        <v>100</v>
      </c>
      <c r="Q29" s="257">
        <f t="shared" si="8"/>
        <v>0</v>
      </c>
      <c r="R29" s="257">
        <f t="shared" si="8"/>
        <v>0</v>
      </c>
      <c r="S29" s="257">
        <f t="shared" si="8"/>
        <v>0</v>
      </c>
      <c r="T29" s="257">
        <f t="shared" si="8"/>
        <v>0</v>
      </c>
      <c r="U29" s="257">
        <f t="shared" si="8"/>
        <v>0</v>
      </c>
      <c r="V29" s="257">
        <f t="shared" si="8"/>
        <v>0</v>
      </c>
      <c r="W29" s="257">
        <f t="shared" si="8"/>
        <v>0</v>
      </c>
      <c r="X29" s="257">
        <f t="shared" si="8"/>
        <v>0</v>
      </c>
      <c r="Y29" s="257">
        <f t="shared" si="8"/>
        <v>0</v>
      </c>
      <c r="Z29" s="257">
        <f t="shared" si="8"/>
        <v>0</v>
      </c>
      <c r="AA29" s="257">
        <f t="shared" si="8"/>
        <v>0</v>
      </c>
      <c r="AB29" s="257">
        <f t="shared" si="8"/>
        <v>0</v>
      </c>
      <c r="AC29" s="257">
        <f t="shared" si="8"/>
        <v>0</v>
      </c>
      <c r="AD29" s="257">
        <f t="shared" si="8"/>
        <v>0</v>
      </c>
      <c r="AE29" s="257">
        <f t="shared" si="8"/>
        <v>0</v>
      </c>
      <c r="AF29" s="257">
        <f t="shared" si="8"/>
        <v>0</v>
      </c>
      <c r="AG29" s="257">
        <f t="shared" si="8"/>
        <v>0</v>
      </c>
      <c r="AH29" s="257">
        <f t="shared" si="8"/>
        <v>0</v>
      </c>
      <c r="AI29" s="257">
        <f t="shared" si="8"/>
        <v>0</v>
      </c>
      <c r="AJ29" s="257">
        <f t="shared" si="8"/>
        <v>0</v>
      </c>
      <c r="AK29" s="257">
        <f t="shared" si="8"/>
        <v>0</v>
      </c>
      <c r="AL29" s="257">
        <f t="shared" si="8"/>
        <v>0</v>
      </c>
      <c r="AM29" s="257">
        <f t="shared" si="8"/>
        <v>0</v>
      </c>
      <c r="AN29" s="257">
        <f t="shared" si="8"/>
        <v>0</v>
      </c>
      <c r="AO29" s="257">
        <f t="shared" si="8"/>
        <v>0</v>
      </c>
      <c r="AP29" s="257">
        <f t="shared" si="8"/>
        <v>0</v>
      </c>
      <c r="AQ29" s="257">
        <f t="shared" si="8"/>
        <v>0</v>
      </c>
      <c r="AR29" s="257">
        <f t="shared" si="8"/>
        <v>0</v>
      </c>
      <c r="AS29" s="257">
        <f t="shared" si="8"/>
        <v>0</v>
      </c>
      <c r="AT29" s="257">
        <f t="shared" si="8"/>
        <v>0</v>
      </c>
      <c r="AU29" s="257">
        <f t="shared" si="8"/>
        <v>0</v>
      </c>
      <c r="AV29" s="257">
        <f t="shared" si="8"/>
        <v>0</v>
      </c>
      <c r="AW29" s="257">
        <f t="shared" si="8"/>
        <v>0</v>
      </c>
      <c r="AX29" s="257">
        <f t="shared" si="8"/>
        <v>0</v>
      </c>
      <c r="AY29" s="257">
        <f t="shared" si="8"/>
        <v>0</v>
      </c>
      <c r="AZ29" s="257">
        <f t="shared" si="8"/>
        <v>0</v>
      </c>
      <c r="BA29" s="257">
        <f t="shared" si="8"/>
        <v>0</v>
      </c>
      <c r="BB29" s="257">
        <f t="shared" si="8"/>
        <v>0</v>
      </c>
      <c r="BC29" s="257">
        <f t="shared" si="8"/>
        <v>0</v>
      </c>
      <c r="BD29" s="257">
        <f t="shared" si="8"/>
        <v>0</v>
      </c>
      <c r="BE29" s="257">
        <f t="shared" si="8"/>
        <v>0</v>
      </c>
      <c r="BF29" s="257">
        <f t="shared" si="8"/>
        <v>0</v>
      </c>
      <c r="BG29" s="257">
        <f t="shared" si="8"/>
        <v>0</v>
      </c>
      <c r="BH29" s="257">
        <f t="shared" si="8"/>
        <v>0</v>
      </c>
      <c r="BI29" s="257">
        <f t="shared" si="8"/>
        <v>0</v>
      </c>
      <c r="BJ29" s="257">
        <f t="shared" si="8"/>
        <v>0</v>
      </c>
      <c r="BK29" s="257">
        <f t="shared" si="8"/>
        <v>0</v>
      </c>
      <c r="BL29" s="257">
        <f t="shared" si="8"/>
        <v>0</v>
      </c>
      <c r="BM29" s="257">
        <f t="shared" si="8"/>
        <v>0</v>
      </c>
      <c r="BN29" s="257">
        <f t="shared" si="8"/>
        <v>0</v>
      </c>
      <c r="BO29" s="257">
        <f t="shared" si="8"/>
        <v>0</v>
      </c>
      <c r="BP29" s="257">
        <f t="shared" si="8"/>
        <v>0</v>
      </c>
      <c r="BQ29" s="257">
        <f t="shared" si="8"/>
        <v>0</v>
      </c>
      <c r="BR29" s="257">
        <f t="shared" si="8"/>
        <v>0</v>
      </c>
      <c r="BS29" s="257">
        <f t="shared" si="8"/>
        <v>0</v>
      </c>
      <c r="BT29" s="257">
        <f t="shared" si="8"/>
        <v>0</v>
      </c>
      <c r="BU29" s="257">
        <f t="shared" si="8"/>
        <v>0</v>
      </c>
      <c r="BV29" s="257">
        <f t="shared" si="8"/>
        <v>0</v>
      </c>
      <c r="BW29" s="257">
        <f t="shared" si="8"/>
        <v>0</v>
      </c>
      <c r="BX29" s="257">
        <f aca="true" t="shared" si="9" ref="BX29:DF29">IF(BX26=($B$29+1),$F$29,IF(BX26&lt;=$B$29,$F$29,0))</f>
        <v>0</v>
      </c>
      <c r="BY29" s="257">
        <f t="shared" si="9"/>
        <v>0</v>
      </c>
      <c r="BZ29" s="257">
        <f t="shared" si="9"/>
        <v>0</v>
      </c>
      <c r="CA29" s="257">
        <f t="shared" si="9"/>
        <v>0</v>
      </c>
      <c r="CB29" s="257">
        <f t="shared" si="9"/>
        <v>0</v>
      </c>
      <c r="CC29" s="257">
        <f t="shared" si="9"/>
        <v>0</v>
      </c>
      <c r="CD29" s="257">
        <f t="shared" si="9"/>
        <v>0</v>
      </c>
      <c r="CE29" s="257">
        <f t="shared" si="9"/>
        <v>0</v>
      </c>
      <c r="CF29" s="257">
        <f t="shared" si="9"/>
        <v>0</v>
      </c>
      <c r="CG29" s="257">
        <f t="shared" si="9"/>
        <v>0</v>
      </c>
      <c r="CH29" s="257">
        <f t="shared" si="9"/>
        <v>0</v>
      </c>
      <c r="CI29" s="257">
        <f t="shared" si="9"/>
        <v>0</v>
      </c>
      <c r="CJ29" s="257">
        <f t="shared" si="9"/>
        <v>0</v>
      </c>
      <c r="CK29" s="257">
        <f t="shared" si="9"/>
        <v>0</v>
      </c>
      <c r="CL29" s="257">
        <f t="shared" si="9"/>
        <v>0</v>
      </c>
      <c r="CM29" s="257">
        <f t="shared" si="9"/>
        <v>0</v>
      </c>
      <c r="CN29" s="257">
        <f t="shared" si="9"/>
        <v>0</v>
      </c>
      <c r="CO29" s="257">
        <f t="shared" si="9"/>
        <v>0</v>
      </c>
      <c r="CP29" s="257">
        <f t="shared" si="9"/>
        <v>0</v>
      </c>
      <c r="CQ29" s="257">
        <f t="shared" si="9"/>
        <v>0</v>
      </c>
      <c r="CR29" s="257">
        <f t="shared" si="9"/>
        <v>0</v>
      </c>
      <c r="CS29" s="257">
        <f t="shared" si="9"/>
        <v>0</v>
      </c>
      <c r="CT29" s="257">
        <f t="shared" si="9"/>
        <v>0</v>
      </c>
      <c r="CU29" s="257">
        <f t="shared" si="9"/>
        <v>0</v>
      </c>
      <c r="CV29" s="257">
        <f t="shared" si="9"/>
        <v>0</v>
      </c>
      <c r="CW29" s="257">
        <f t="shared" si="9"/>
        <v>0</v>
      </c>
      <c r="CX29" s="257">
        <f t="shared" si="9"/>
        <v>0</v>
      </c>
      <c r="CY29" s="257">
        <f t="shared" si="9"/>
        <v>0</v>
      </c>
      <c r="CZ29" s="257">
        <f t="shared" si="9"/>
        <v>0</v>
      </c>
      <c r="DA29" s="257">
        <f t="shared" si="9"/>
        <v>0</v>
      </c>
      <c r="DB29" s="257">
        <f t="shared" si="9"/>
        <v>0</v>
      </c>
      <c r="DC29" s="257">
        <f t="shared" si="9"/>
        <v>0</v>
      </c>
      <c r="DD29" s="257">
        <f t="shared" si="9"/>
        <v>0</v>
      </c>
      <c r="DE29" s="257">
        <f t="shared" si="9"/>
        <v>0</v>
      </c>
      <c r="DF29" s="257">
        <f t="shared" si="9"/>
        <v>0</v>
      </c>
    </row>
    <row r="30" spans="1:110" ht="18" customHeight="1" thickBot="1">
      <c r="A30" s="133" t="s">
        <v>342</v>
      </c>
      <c r="B30" s="133">
        <f>'Farm and Buffer Assumptions'!C44</f>
        <v>15</v>
      </c>
      <c r="C30" s="133" t="s">
        <v>17</v>
      </c>
      <c r="D30" s="134">
        <f>IF('Farm and Buffer Assumptions'!C57=1,Prices!C24*'Farm and Buffer Assumptions'!C45,0)</f>
        <v>230</v>
      </c>
      <c r="E30" s="204">
        <v>1</v>
      </c>
      <c r="F30" s="203">
        <f>E30*D30</f>
        <v>230</v>
      </c>
      <c r="G30" s="258">
        <f>-PV('Farm and Buffer Assumptions'!C29,B30,F30)</f>
        <v>2557.2291093986696</v>
      </c>
      <c r="H30" s="259"/>
      <c r="J30" s="134" t="s">
        <v>343</v>
      </c>
      <c r="K30" s="257">
        <f>IF(K26&lt;=$B$30,$F$30,0)</f>
        <v>230</v>
      </c>
      <c r="L30" s="257">
        <f aca="true" t="shared" si="10" ref="L30:BW30">IF(L26&lt;=$B$30,$F$30,0)</f>
        <v>230</v>
      </c>
      <c r="M30" s="257">
        <f t="shared" si="10"/>
        <v>230</v>
      </c>
      <c r="N30" s="257">
        <f t="shared" si="10"/>
        <v>230</v>
      </c>
      <c r="O30" s="257">
        <f t="shared" si="10"/>
        <v>230</v>
      </c>
      <c r="P30" s="257">
        <f t="shared" si="10"/>
        <v>230</v>
      </c>
      <c r="Q30" s="257">
        <f t="shared" si="10"/>
        <v>230</v>
      </c>
      <c r="R30" s="257">
        <f t="shared" si="10"/>
        <v>230</v>
      </c>
      <c r="S30" s="257">
        <f t="shared" si="10"/>
        <v>230</v>
      </c>
      <c r="T30" s="257">
        <f t="shared" si="10"/>
        <v>230</v>
      </c>
      <c r="U30" s="257">
        <f t="shared" si="10"/>
        <v>230</v>
      </c>
      <c r="V30" s="257">
        <f t="shared" si="10"/>
        <v>230</v>
      </c>
      <c r="W30" s="257">
        <f t="shared" si="10"/>
        <v>230</v>
      </c>
      <c r="X30" s="257">
        <f t="shared" si="10"/>
        <v>230</v>
      </c>
      <c r="Y30" s="257">
        <f t="shared" si="10"/>
        <v>230</v>
      </c>
      <c r="Z30" s="257">
        <f t="shared" si="10"/>
        <v>0</v>
      </c>
      <c r="AA30" s="257">
        <f t="shared" si="10"/>
        <v>0</v>
      </c>
      <c r="AB30" s="257">
        <f t="shared" si="10"/>
        <v>0</v>
      </c>
      <c r="AC30" s="257">
        <f t="shared" si="10"/>
        <v>0</v>
      </c>
      <c r="AD30" s="257">
        <f t="shared" si="10"/>
        <v>0</v>
      </c>
      <c r="AE30" s="257">
        <f t="shared" si="10"/>
        <v>0</v>
      </c>
      <c r="AF30" s="257">
        <f t="shared" si="10"/>
        <v>0</v>
      </c>
      <c r="AG30" s="257">
        <f t="shared" si="10"/>
        <v>0</v>
      </c>
      <c r="AH30" s="257">
        <f t="shared" si="10"/>
        <v>0</v>
      </c>
      <c r="AI30" s="257">
        <f t="shared" si="10"/>
        <v>0</v>
      </c>
      <c r="AJ30" s="257">
        <f t="shared" si="10"/>
        <v>0</v>
      </c>
      <c r="AK30" s="257">
        <f t="shared" si="10"/>
        <v>0</v>
      </c>
      <c r="AL30" s="257">
        <f t="shared" si="10"/>
        <v>0</v>
      </c>
      <c r="AM30" s="257">
        <f t="shared" si="10"/>
        <v>0</v>
      </c>
      <c r="AN30" s="257">
        <f t="shared" si="10"/>
        <v>0</v>
      </c>
      <c r="AO30" s="257">
        <f t="shared" si="10"/>
        <v>0</v>
      </c>
      <c r="AP30" s="257">
        <f t="shared" si="10"/>
        <v>0</v>
      </c>
      <c r="AQ30" s="257">
        <f t="shared" si="10"/>
        <v>0</v>
      </c>
      <c r="AR30" s="257">
        <f t="shared" si="10"/>
        <v>0</v>
      </c>
      <c r="AS30" s="257">
        <f t="shared" si="10"/>
        <v>0</v>
      </c>
      <c r="AT30" s="257">
        <f t="shared" si="10"/>
        <v>0</v>
      </c>
      <c r="AU30" s="257">
        <f t="shared" si="10"/>
        <v>0</v>
      </c>
      <c r="AV30" s="257">
        <f t="shared" si="10"/>
        <v>0</v>
      </c>
      <c r="AW30" s="257">
        <f t="shared" si="10"/>
        <v>0</v>
      </c>
      <c r="AX30" s="257">
        <f t="shared" si="10"/>
        <v>0</v>
      </c>
      <c r="AY30" s="257">
        <f t="shared" si="10"/>
        <v>0</v>
      </c>
      <c r="AZ30" s="257">
        <f t="shared" si="10"/>
        <v>0</v>
      </c>
      <c r="BA30" s="257">
        <f t="shared" si="10"/>
        <v>0</v>
      </c>
      <c r="BB30" s="257">
        <f t="shared" si="10"/>
        <v>0</v>
      </c>
      <c r="BC30" s="257">
        <f t="shared" si="10"/>
        <v>0</v>
      </c>
      <c r="BD30" s="257">
        <f t="shared" si="10"/>
        <v>0</v>
      </c>
      <c r="BE30" s="257">
        <f t="shared" si="10"/>
        <v>0</v>
      </c>
      <c r="BF30" s="257">
        <f t="shared" si="10"/>
        <v>0</v>
      </c>
      <c r="BG30" s="257">
        <f t="shared" si="10"/>
        <v>0</v>
      </c>
      <c r="BH30" s="257">
        <f t="shared" si="10"/>
        <v>0</v>
      </c>
      <c r="BI30" s="257">
        <f t="shared" si="10"/>
        <v>0</v>
      </c>
      <c r="BJ30" s="257">
        <f t="shared" si="10"/>
        <v>0</v>
      </c>
      <c r="BK30" s="257">
        <f t="shared" si="10"/>
        <v>0</v>
      </c>
      <c r="BL30" s="257">
        <f t="shared" si="10"/>
        <v>0</v>
      </c>
      <c r="BM30" s="257">
        <f t="shared" si="10"/>
        <v>0</v>
      </c>
      <c r="BN30" s="257">
        <f t="shared" si="10"/>
        <v>0</v>
      </c>
      <c r="BO30" s="257">
        <f t="shared" si="10"/>
        <v>0</v>
      </c>
      <c r="BP30" s="257">
        <f t="shared" si="10"/>
        <v>0</v>
      </c>
      <c r="BQ30" s="257">
        <f t="shared" si="10"/>
        <v>0</v>
      </c>
      <c r="BR30" s="257">
        <f t="shared" si="10"/>
        <v>0</v>
      </c>
      <c r="BS30" s="257">
        <f t="shared" si="10"/>
        <v>0</v>
      </c>
      <c r="BT30" s="257">
        <f t="shared" si="10"/>
        <v>0</v>
      </c>
      <c r="BU30" s="257">
        <f t="shared" si="10"/>
        <v>0</v>
      </c>
      <c r="BV30" s="257">
        <f t="shared" si="10"/>
        <v>0</v>
      </c>
      <c r="BW30" s="257">
        <f t="shared" si="10"/>
        <v>0</v>
      </c>
      <c r="BX30" s="257">
        <f aca="true" t="shared" si="11" ref="BX30:DF30">IF(BX26&lt;=$B$30,$F$30,0)</f>
        <v>0</v>
      </c>
      <c r="BY30" s="257">
        <f t="shared" si="11"/>
        <v>0</v>
      </c>
      <c r="BZ30" s="257">
        <f t="shared" si="11"/>
        <v>0</v>
      </c>
      <c r="CA30" s="257">
        <f t="shared" si="11"/>
        <v>0</v>
      </c>
      <c r="CB30" s="257">
        <f t="shared" si="11"/>
        <v>0</v>
      </c>
      <c r="CC30" s="257">
        <f t="shared" si="11"/>
        <v>0</v>
      </c>
      <c r="CD30" s="257">
        <f t="shared" si="11"/>
        <v>0</v>
      </c>
      <c r="CE30" s="257">
        <f t="shared" si="11"/>
        <v>0</v>
      </c>
      <c r="CF30" s="257">
        <f t="shared" si="11"/>
        <v>0</v>
      </c>
      <c r="CG30" s="257">
        <f t="shared" si="11"/>
        <v>0</v>
      </c>
      <c r="CH30" s="257">
        <f t="shared" si="11"/>
        <v>0</v>
      </c>
      <c r="CI30" s="257">
        <f t="shared" si="11"/>
        <v>0</v>
      </c>
      <c r="CJ30" s="257">
        <f t="shared" si="11"/>
        <v>0</v>
      </c>
      <c r="CK30" s="257">
        <f t="shared" si="11"/>
        <v>0</v>
      </c>
      <c r="CL30" s="257">
        <f t="shared" si="11"/>
        <v>0</v>
      </c>
      <c r="CM30" s="257">
        <f t="shared" si="11"/>
        <v>0</v>
      </c>
      <c r="CN30" s="257">
        <f t="shared" si="11"/>
        <v>0</v>
      </c>
      <c r="CO30" s="257">
        <f t="shared" si="11"/>
        <v>0</v>
      </c>
      <c r="CP30" s="257">
        <f t="shared" si="11"/>
        <v>0</v>
      </c>
      <c r="CQ30" s="257">
        <f t="shared" si="11"/>
        <v>0</v>
      </c>
      <c r="CR30" s="257">
        <f t="shared" si="11"/>
        <v>0</v>
      </c>
      <c r="CS30" s="257">
        <f t="shared" si="11"/>
        <v>0</v>
      </c>
      <c r="CT30" s="257">
        <f t="shared" si="11"/>
        <v>0</v>
      </c>
      <c r="CU30" s="257">
        <f t="shared" si="11"/>
        <v>0</v>
      </c>
      <c r="CV30" s="257">
        <f t="shared" si="11"/>
        <v>0</v>
      </c>
      <c r="CW30" s="257">
        <f t="shared" si="11"/>
        <v>0</v>
      </c>
      <c r="CX30" s="257">
        <f t="shared" si="11"/>
        <v>0</v>
      </c>
      <c r="CY30" s="257">
        <f t="shared" si="11"/>
        <v>0</v>
      </c>
      <c r="CZ30" s="257">
        <f t="shared" si="11"/>
        <v>0</v>
      </c>
      <c r="DA30" s="257">
        <f t="shared" si="11"/>
        <v>0</v>
      </c>
      <c r="DB30" s="257">
        <f t="shared" si="11"/>
        <v>0</v>
      </c>
      <c r="DC30" s="257">
        <f t="shared" si="11"/>
        <v>0</v>
      </c>
      <c r="DD30" s="257">
        <f t="shared" si="11"/>
        <v>0</v>
      </c>
      <c r="DE30" s="257">
        <f t="shared" si="11"/>
        <v>0</v>
      </c>
      <c r="DF30" s="257">
        <f t="shared" si="11"/>
        <v>0</v>
      </c>
    </row>
    <row r="31" spans="1:110" ht="18" customHeight="1" thickBot="1">
      <c r="A31" s="133" t="s">
        <v>344</v>
      </c>
      <c r="B31" s="133">
        <v>1</v>
      </c>
      <c r="C31" s="133" t="s">
        <v>17</v>
      </c>
      <c r="D31" s="134">
        <f>IF('Farm and Buffer Assumptions'!C58=1,'Farm and Buffer Assumptions'!C46,0)</f>
        <v>0</v>
      </c>
      <c r="E31" s="204">
        <v>1</v>
      </c>
      <c r="F31" s="203">
        <f>E31*D31</f>
        <v>0</v>
      </c>
      <c r="G31" s="295">
        <f>F31</f>
        <v>0</v>
      </c>
      <c r="H31" s="259"/>
      <c r="J31" s="134" t="s">
        <v>345</v>
      </c>
      <c r="K31" s="257">
        <f>F31</f>
        <v>0</v>
      </c>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row>
    <row r="32" spans="1:110" ht="18" customHeight="1" thickBot="1">
      <c r="A32" s="260" t="s">
        <v>346</v>
      </c>
      <c r="B32" s="260"/>
      <c r="C32" s="137"/>
      <c r="D32" s="137"/>
      <c r="E32" s="137"/>
      <c r="F32" s="261">
        <f>SUM(F28:F31)</f>
        <v>1840</v>
      </c>
      <c r="G32" s="262">
        <f>SUM(G28:G31)</f>
        <v>4512.411342500291</v>
      </c>
      <c r="H32" s="263"/>
      <c r="J32" s="134" t="s">
        <v>347</v>
      </c>
      <c r="K32" s="257">
        <f>F37</f>
        <v>1510</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row>
    <row r="33" spans="6:110" ht="18" customHeight="1">
      <c r="F33" s="29"/>
      <c r="G33" s="264"/>
      <c r="H33" s="761"/>
      <c r="J33" s="134" t="s">
        <v>348</v>
      </c>
      <c r="K33" s="134">
        <v>0</v>
      </c>
      <c r="L33" s="257">
        <f>F41</f>
        <v>100</v>
      </c>
      <c r="M33" s="257">
        <f>F41</f>
        <v>100</v>
      </c>
      <c r="N33" s="257">
        <f>F41</f>
        <v>100</v>
      </c>
      <c r="O33" s="257">
        <f>F41</f>
        <v>100</v>
      </c>
      <c r="P33" s="257">
        <f>F41</f>
        <v>100</v>
      </c>
      <c r="Q33" s="257">
        <f>F41</f>
        <v>100</v>
      </c>
      <c r="R33" s="257">
        <f>F41</f>
        <v>100</v>
      </c>
      <c r="S33" s="257">
        <f>F41</f>
        <v>100</v>
      </c>
      <c r="T33" s="257">
        <f>F41</f>
        <v>100</v>
      </c>
      <c r="U33" s="257">
        <f>F41</f>
        <v>100</v>
      </c>
      <c r="V33" s="257">
        <f>F41</f>
        <v>100</v>
      </c>
      <c r="W33" s="257">
        <f>F41</f>
        <v>100</v>
      </c>
      <c r="X33" s="257">
        <f>F41</f>
        <v>100</v>
      </c>
      <c r="Y33" s="257">
        <f>F41</f>
        <v>100</v>
      </c>
      <c r="Z33" s="257">
        <f>F41</f>
        <v>100</v>
      </c>
      <c r="AA33" s="257">
        <f>F41</f>
        <v>100</v>
      </c>
      <c r="AB33" s="257">
        <f>F41</f>
        <v>100</v>
      </c>
      <c r="AC33" s="257">
        <f>F41</f>
        <v>100</v>
      </c>
      <c r="AD33" s="257">
        <f>$F$41</f>
        <v>100</v>
      </c>
      <c r="AE33" s="257">
        <f aca="true" t="shared" si="12" ref="AE33:CP33">$F$41</f>
        <v>100</v>
      </c>
      <c r="AF33" s="257">
        <f t="shared" si="12"/>
        <v>100</v>
      </c>
      <c r="AG33" s="257">
        <f t="shared" si="12"/>
        <v>100</v>
      </c>
      <c r="AH33" s="257">
        <f t="shared" si="12"/>
        <v>100</v>
      </c>
      <c r="AI33" s="257">
        <f t="shared" si="12"/>
        <v>100</v>
      </c>
      <c r="AJ33" s="257">
        <f t="shared" si="12"/>
        <v>100</v>
      </c>
      <c r="AK33" s="257">
        <f t="shared" si="12"/>
        <v>100</v>
      </c>
      <c r="AL33" s="257">
        <f t="shared" si="12"/>
        <v>100</v>
      </c>
      <c r="AM33" s="257">
        <f t="shared" si="12"/>
        <v>100</v>
      </c>
      <c r="AN33" s="257">
        <f t="shared" si="12"/>
        <v>100</v>
      </c>
      <c r="AO33" s="257">
        <f t="shared" si="12"/>
        <v>100</v>
      </c>
      <c r="AP33" s="257">
        <f t="shared" si="12"/>
        <v>100</v>
      </c>
      <c r="AQ33" s="257">
        <f t="shared" si="12"/>
        <v>100</v>
      </c>
      <c r="AR33" s="257">
        <f t="shared" si="12"/>
        <v>100</v>
      </c>
      <c r="AS33" s="257">
        <f t="shared" si="12"/>
        <v>100</v>
      </c>
      <c r="AT33" s="257">
        <f t="shared" si="12"/>
        <v>100</v>
      </c>
      <c r="AU33" s="257">
        <f t="shared" si="12"/>
        <v>100</v>
      </c>
      <c r="AV33" s="257">
        <f t="shared" si="12"/>
        <v>100</v>
      </c>
      <c r="AW33" s="257">
        <f t="shared" si="12"/>
        <v>100</v>
      </c>
      <c r="AX33" s="257">
        <f t="shared" si="12"/>
        <v>100</v>
      </c>
      <c r="AY33" s="257">
        <f t="shared" si="12"/>
        <v>100</v>
      </c>
      <c r="AZ33" s="257">
        <f t="shared" si="12"/>
        <v>100</v>
      </c>
      <c r="BA33" s="257">
        <f t="shared" si="12"/>
        <v>100</v>
      </c>
      <c r="BB33" s="257">
        <f t="shared" si="12"/>
        <v>100</v>
      </c>
      <c r="BC33" s="257">
        <f t="shared" si="12"/>
        <v>100</v>
      </c>
      <c r="BD33" s="257">
        <f t="shared" si="12"/>
        <v>100</v>
      </c>
      <c r="BE33" s="257">
        <f t="shared" si="12"/>
        <v>100</v>
      </c>
      <c r="BF33" s="257">
        <f t="shared" si="12"/>
        <v>100</v>
      </c>
      <c r="BG33" s="257">
        <f t="shared" si="12"/>
        <v>100</v>
      </c>
      <c r="BH33" s="257">
        <f t="shared" si="12"/>
        <v>100</v>
      </c>
      <c r="BI33" s="257">
        <f t="shared" si="12"/>
        <v>100</v>
      </c>
      <c r="BJ33" s="257">
        <f t="shared" si="12"/>
        <v>100</v>
      </c>
      <c r="BK33" s="257">
        <f t="shared" si="12"/>
        <v>100</v>
      </c>
      <c r="BL33" s="257">
        <f t="shared" si="12"/>
        <v>100</v>
      </c>
      <c r="BM33" s="257">
        <f t="shared" si="12"/>
        <v>100</v>
      </c>
      <c r="BN33" s="257">
        <f t="shared" si="12"/>
        <v>100</v>
      </c>
      <c r="BO33" s="257">
        <f t="shared" si="12"/>
        <v>100</v>
      </c>
      <c r="BP33" s="257">
        <f t="shared" si="12"/>
        <v>100</v>
      </c>
      <c r="BQ33" s="257">
        <f t="shared" si="12"/>
        <v>100</v>
      </c>
      <c r="BR33" s="257">
        <f t="shared" si="12"/>
        <v>100</v>
      </c>
      <c r="BS33" s="257">
        <f t="shared" si="12"/>
        <v>100</v>
      </c>
      <c r="BT33" s="257">
        <f t="shared" si="12"/>
        <v>100</v>
      </c>
      <c r="BU33" s="257">
        <f t="shared" si="12"/>
        <v>100</v>
      </c>
      <c r="BV33" s="257">
        <f t="shared" si="12"/>
        <v>100</v>
      </c>
      <c r="BW33" s="257">
        <f t="shared" si="12"/>
        <v>100</v>
      </c>
      <c r="BX33" s="257">
        <f t="shared" si="12"/>
        <v>100</v>
      </c>
      <c r="BY33" s="257">
        <f t="shared" si="12"/>
        <v>100</v>
      </c>
      <c r="BZ33" s="257">
        <f t="shared" si="12"/>
        <v>100</v>
      </c>
      <c r="CA33" s="257">
        <f t="shared" si="12"/>
        <v>100</v>
      </c>
      <c r="CB33" s="257">
        <f t="shared" si="12"/>
        <v>100</v>
      </c>
      <c r="CC33" s="257">
        <f t="shared" si="12"/>
        <v>100</v>
      </c>
      <c r="CD33" s="257">
        <f t="shared" si="12"/>
        <v>100</v>
      </c>
      <c r="CE33" s="257">
        <f t="shared" si="12"/>
        <v>100</v>
      </c>
      <c r="CF33" s="257">
        <f t="shared" si="12"/>
        <v>100</v>
      </c>
      <c r="CG33" s="257">
        <f t="shared" si="12"/>
        <v>100</v>
      </c>
      <c r="CH33" s="257">
        <f t="shared" si="12"/>
        <v>100</v>
      </c>
      <c r="CI33" s="257">
        <f t="shared" si="12"/>
        <v>100</v>
      </c>
      <c r="CJ33" s="257">
        <f t="shared" si="12"/>
        <v>100</v>
      </c>
      <c r="CK33" s="257">
        <f t="shared" si="12"/>
        <v>100</v>
      </c>
      <c r="CL33" s="257">
        <f t="shared" si="12"/>
        <v>100</v>
      </c>
      <c r="CM33" s="257">
        <f t="shared" si="12"/>
        <v>100</v>
      </c>
      <c r="CN33" s="257">
        <f t="shared" si="12"/>
        <v>100</v>
      </c>
      <c r="CO33" s="257">
        <f t="shared" si="12"/>
        <v>100</v>
      </c>
      <c r="CP33" s="257">
        <f t="shared" si="12"/>
        <v>100</v>
      </c>
      <c r="CQ33" s="257">
        <f aca="true" t="shared" si="13" ref="CQ33:DF33">$F$41</f>
        <v>100</v>
      </c>
      <c r="CR33" s="257">
        <f t="shared" si="13"/>
        <v>100</v>
      </c>
      <c r="CS33" s="257">
        <f t="shared" si="13"/>
        <v>100</v>
      </c>
      <c r="CT33" s="257">
        <f t="shared" si="13"/>
        <v>100</v>
      </c>
      <c r="CU33" s="257">
        <f t="shared" si="13"/>
        <v>100</v>
      </c>
      <c r="CV33" s="257">
        <f t="shared" si="13"/>
        <v>100</v>
      </c>
      <c r="CW33" s="257">
        <f t="shared" si="13"/>
        <v>100</v>
      </c>
      <c r="CX33" s="257">
        <f t="shared" si="13"/>
        <v>100</v>
      </c>
      <c r="CY33" s="257">
        <f t="shared" si="13"/>
        <v>100</v>
      </c>
      <c r="CZ33" s="257">
        <f t="shared" si="13"/>
        <v>100</v>
      </c>
      <c r="DA33" s="257">
        <f t="shared" si="13"/>
        <v>100</v>
      </c>
      <c r="DB33" s="257">
        <f t="shared" si="13"/>
        <v>100</v>
      </c>
      <c r="DC33" s="257">
        <f t="shared" si="13"/>
        <v>100</v>
      </c>
      <c r="DD33" s="257">
        <f t="shared" si="13"/>
        <v>100</v>
      </c>
      <c r="DE33" s="257">
        <f t="shared" si="13"/>
        <v>100</v>
      </c>
      <c r="DF33" s="257">
        <f t="shared" si="13"/>
        <v>100</v>
      </c>
    </row>
    <row r="34" spans="1:110" ht="18" customHeight="1">
      <c r="A34" s="683" t="s">
        <v>349</v>
      </c>
      <c r="B34" s="683"/>
      <c r="C34" s="337"/>
      <c r="D34" s="337"/>
      <c r="E34" s="337"/>
      <c r="F34" s="650"/>
      <c r="G34" s="755"/>
      <c r="H34" s="655" t="s">
        <v>369</v>
      </c>
      <c r="J34" s="296" t="s">
        <v>350</v>
      </c>
      <c r="K34" s="240">
        <f>SUM(K28:K31)-SUM(K32:K33)</f>
        <v>230</v>
      </c>
      <c r="L34" s="240">
        <f aca="true" t="shared" si="14" ref="L34:Y34">SUM(L28:L31)-SUM(L32:L33)</f>
        <v>230</v>
      </c>
      <c r="M34" s="240">
        <f t="shared" si="14"/>
        <v>230</v>
      </c>
      <c r="N34" s="240">
        <f t="shared" si="14"/>
        <v>230</v>
      </c>
      <c r="O34" s="240">
        <f t="shared" si="14"/>
        <v>230</v>
      </c>
      <c r="P34" s="240">
        <f t="shared" si="14"/>
        <v>230</v>
      </c>
      <c r="Q34" s="240">
        <f t="shared" si="14"/>
        <v>130</v>
      </c>
      <c r="R34" s="240">
        <f t="shared" si="14"/>
        <v>130</v>
      </c>
      <c r="S34" s="240">
        <f t="shared" si="14"/>
        <v>130</v>
      </c>
      <c r="T34" s="240">
        <f t="shared" si="14"/>
        <v>130</v>
      </c>
      <c r="U34" s="240">
        <f t="shared" si="14"/>
        <v>130</v>
      </c>
      <c r="V34" s="240">
        <f t="shared" si="14"/>
        <v>130</v>
      </c>
      <c r="W34" s="240">
        <f t="shared" si="14"/>
        <v>130</v>
      </c>
      <c r="X34" s="240">
        <f t="shared" si="14"/>
        <v>130</v>
      </c>
      <c r="Y34" s="240">
        <f t="shared" si="14"/>
        <v>130</v>
      </c>
      <c r="Z34" s="240">
        <f>SUM(Z28:Z31)-SUM(Z32:Z33)</f>
        <v>-100</v>
      </c>
      <c r="AA34" s="240">
        <f>SUM(AA28:AA31)-SUM(AA32:AA33)</f>
        <v>-100</v>
      </c>
      <c r="AB34" s="240">
        <f>SUM(AB28:AB31)-SUM(AB32:AB33)</f>
        <v>-100</v>
      </c>
      <c r="AC34" s="240">
        <f>SUM(AC28:AC31)-SUM(AC32:AC33)</f>
        <v>-100</v>
      </c>
      <c r="AD34" s="240">
        <f>SUM(AD28:AD31)-SUM(AD32:AD33)</f>
        <v>-100</v>
      </c>
      <c r="AE34" s="240">
        <f aca="true" t="shared" si="15" ref="AE34:CP34">SUM(AE28:AE31)-SUM(AE32:AE33)</f>
        <v>-100</v>
      </c>
      <c r="AF34" s="240">
        <f t="shared" si="15"/>
        <v>-100</v>
      </c>
      <c r="AG34" s="240">
        <f t="shared" si="15"/>
        <v>-100</v>
      </c>
      <c r="AH34" s="240">
        <f t="shared" si="15"/>
        <v>-100</v>
      </c>
      <c r="AI34" s="240">
        <f t="shared" si="15"/>
        <v>-100</v>
      </c>
      <c r="AJ34" s="240">
        <f t="shared" si="15"/>
        <v>-100</v>
      </c>
      <c r="AK34" s="240">
        <f t="shared" si="15"/>
        <v>-100</v>
      </c>
      <c r="AL34" s="240">
        <f t="shared" si="15"/>
        <v>-100</v>
      </c>
      <c r="AM34" s="240">
        <f t="shared" si="15"/>
        <v>-100</v>
      </c>
      <c r="AN34" s="240">
        <f t="shared" si="15"/>
        <v>-100</v>
      </c>
      <c r="AO34" s="240">
        <f t="shared" si="15"/>
        <v>-100</v>
      </c>
      <c r="AP34" s="240">
        <f t="shared" si="15"/>
        <v>-100</v>
      </c>
      <c r="AQ34" s="240">
        <f t="shared" si="15"/>
        <v>-100</v>
      </c>
      <c r="AR34" s="240">
        <f t="shared" si="15"/>
        <v>-100</v>
      </c>
      <c r="AS34" s="240">
        <f t="shared" si="15"/>
        <v>-100</v>
      </c>
      <c r="AT34" s="240">
        <f t="shared" si="15"/>
        <v>-100</v>
      </c>
      <c r="AU34" s="240">
        <f t="shared" si="15"/>
        <v>-100</v>
      </c>
      <c r="AV34" s="240">
        <f t="shared" si="15"/>
        <v>-100</v>
      </c>
      <c r="AW34" s="240">
        <f t="shared" si="15"/>
        <v>-100</v>
      </c>
      <c r="AX34" s="240">
        <f t="shared" si="15"/>
        <v>-100</v>
      </c>
      <c r="AY34" s="240">
        <f t="shared" si="15"/>
        <v>-100</v>
      </c>
      <c r="AZ34" s="240">
        <f t="shared" si="15"/>
        <v>-100</v>
      </c>
      <c r="BA34" s="240">
        <f t="shared" si="15"/>
        <v>-100</v>
      </c>
      <c r="BB34" s="240">
        <f t="shared" si="15"/>
        <v>-100</v>
      </c>
      <c r="BC34" s="240">
        <f t="shared" si="15"/>
        <v>-100</v>
      </c>
      <c r="BD34" s="240">
        <f t="shared" si="15"/>
        <v>-100</v>
      </c>
      <c r="BE34" s="240">
        <f t="shared" si="15"/>
        <v>-100</v>
      </c>
      <c r="BF34" s="240">
        <f t="shared" si="15"/>
        <v>-100</v>
      </c>
      <c r="BG34" s="240">
        <f t="shared" si="15"/>
        <v>-100</v>
      </c>
      <c r="BH34" s="240">
        <f t="shared" si="15"/>
        <v>-100</v>
      </c>
      <c r="BI34" s="240">
        <f t="shared" si="15"/>
        <v>-100</v>
      </c>
      <c r="BJ34" s="240">
        <f t="shared" si="15"/>
        <v>-100</v>
      </c>
      <c r="BK34" s="240">
        <f t="shared" si="15"/>
        <v>-100</v>
      </c>
      <c r="BL34" s="240">
        <f t="shared" si="15"/>
        <v>-100</v>
      </c>
      <c r="BM34" s="240">
        <f t="shared" si="15"/>
        <v>-100</v>
      </c>
      <c r="BN34" s="240">
        <f t="shared" si="15"/>
        <v>-100</v>
      </c>
      <c r="BO34" s="240">
        <f t="shared" si="15"/>
        <v>-100</v>
      </c>
      <c r="BP34" s="240">
        <f t="shared" si="15"/>
        <v>-100</v>
      </c>
      <c r="BQ34" s="240">
        <f t="shared" si="15"/>
        <v>-100</v>
      </c>
      <c r="BR34" s="240">
        <f t="shared" si="15"/>
        <v>-100</v>
      </c>
      <c r="BS34" s="240">
        <f t="shared" si="15"/>
        <v>-100</v>
      </c>
      <c r="BT34" s="240">
        <f t="shared" si="15"/>
        <v>-100</v>
      </c>
      <c r="BU34" s="240">
        <f t="shared" si="15"/>
        <v>-100</v>
      </c>
      <c r="BV34" s="240">
        <f t="shared" si="15"/>
        <v>-100</v>
      </c>
      <c r="BW34" s="240">
        <f t="shared" si="15"/>
        <v>-100</v>
      </c>
      <c r="BX34" s="240">
        <f t="shared" si="15"/>
        <v>-100</v>
      </c>
      <c r="BY34" s="240">
        <f t="shared" si="15"/>
        <v>-100</v>
      </c>
      <c r="BZ34" s="240">
        <f t="shared" si="15"/>
        <v>-100</v>
      </c>
      <c r="CA34" s="240">
        <f t="shared" si="15"/>
        <v>-100</v>
      </c>
      <c r="CB34" s="240">
        <f t="shared" si="15"/>
        <v>-100</v>
      </c>
      <c r="CC34" s="240">
        <f t="shared" si="15"/>
        <v>-100</v>
      </c>
      <c r="CD34" s="240">
        <f t="shared" si="15"/>
        <v>-100</v>
      </c>
      <c r="CE34" s="240">
        <f t="shared" si="15"/>
        <v>-100</v>
      </c>
      <c r="CF34" s="240">
        <f t="shared" si="15"/>
        <v>-100</v>
      </c>
      <c r="CG34" s="240">
        <f t="shared" si="15"/>
        <v>-100</v>
      </c>
      <c r="CH34" s="240">
        <f t="shared" si="15"/>
        <v>-100</v>
      </c>
      <c r="CI34" s="240">
        <f t="shared" si="15"/>
        <v>-100</v>
      </c>
      <c r="CJ34" s="240">
        <f t="shared" si="15"/>
        <v>-100</v>
      </c>
      <c r="CK34" s="240">
        <f t="shared" si="15"/>
        <v>-100</v>
      </c>
      <c r="CL34" s="240">
        <f t="shared" si="15"/>
        <v>-100</v>
      </c>
      <c r="CM34" s="240">
        <f t="shared" si="15"/>
        <v>-100</v>
      </c>
      <c r="CN34" s="240">
        <f t="shared" si="15"/>
        <v>-100</v>
      </c>
      <c r="CO34" s="240">
        <f t="shared" si="15"/>
        <v>-100</v>
      </c>
      <c r="CP34" s="240">
        <f t="shared" si="15"/>
        <v>-100</v>
      </c>
      <c r="CQ34" s="240">
        <f aca="true" t="shared" si="16" ref="CQ34:DF34">SUM(CQ28:CQ31)-SUM(CQ32:CQ33)</f>
        <v>-100</v>
      </c>
      <c r="CR34" s="240">
        <f t="shared" si="16"/>
        <v>-100</v>
      </c>
      <c r="CS34" s="240">
        <f t="shared" si="16"/>
        <v>-100</v>
      </c>
      <c r="CT34" s="240">
        <f t="shared" si="16"/>
        <v>-100</v>
      </c>
      <c r="CU34" s="240">
        <f t="shared" si="16"/>
        <v>-100</v>
      </c>
      <c r="CV34" s="240">
        <f t="shared" si="16"/>
        <v>-100</v>
      </c>
      <c r="CW34" s="240">
        <f t="shared" si="16"/>
        <v>-100</v>
      </c>
      <c r="CX34" s="240">
        <f t="shared" si="16"/>
        <v>-100</v>
      </c>
      <c r="CY34" s="240">
        <f t="shared" si="16"/>
        <v>-100</v>
      </c>
      <c r="CZ34" s="240">
        <f t="shared" si="16"/>
        <v>-100</v>
      </c>
      <c r="DA34" s="240">
        <f t="shared" si="16"/>
        <v>-100</v>
      </c>
      <c r="DB34" s="240">
        <f t="shared" si="16"/>
        <v>-100</v>
      </c>
      <c r="DC34" s="240">
        <f t="shared" si="16"/>
        <v>-100</v>
      </c>
      <c r="DD34" s="240">
        <f t="shared" si="16"/>
        <v>-100</v>
      </c>
      <c r="DE34" s="240">
        <f t="shared" si="16"/>
        <v>-100</v>
      </c>
      <c r="DF34" s="240">
        <f t="shared" si="16"/>
        <v>-100</v>
      </c>
    </row>
    <row r="35" spans="1:110" ht="18" customHeight="1">
      <c r="A35" s="133" t="s">
        <v>370</v>
      </c>
      <c r="B35" s="133">
        <v>1</v>
      </c>
      <c r="C35" s="133" t="s">
        <v>17</v>
      </c>
      <c r="D35" s="297">
        <f>Prices!C36</f>
        <v>850</v>
      </c>
      <c r="E35" s="204">
        <v>1</v>
      </c>
      <c r="F35" s="203">
        <f>E35*D35</f>
        <v>850</v>
      </c>
      <c r="G35" s="760">
        <f>D35*E35</f>
        <v>850</v>
      </c>
      <c r="H35" s="133" t="s">
        <v>371</v>
      </c>
      <c r="I35" s="2"/>
      <c r="J35" t="s">
        <v>372</v>
      </c>
      <c r="K35" s="26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row>
    <row r="36" spans="1:16" ht="18" customHeight="1">
      <c r="A36" s="134" t="s">
        <v>373</v>
      </c>
      <c r="B36" s="134">
        <v>1</v>
      </c>
      <c r="C36" s="134" t="s">
        <v>17</v>
      </c>
      <c r="D36" s="266">
        <f>300+115+45+200</f>
        <v>660</v>
      </c>
      <c r="E36" s="244">
        <v>1</v>
      </c>
      <c r="F36" s="257">
        <f>E36*D36</f>
        <v>660</v>
      </c>
      <c r="G36" s="756">
        <f>D36*E36</f>
        <v>660</v>
      </c>
      <c r="H36" s="133"/>
      <c r="K36" s="268"/>
      <c r="M36" s="274" t="s">
        <v>374</v>
      </c>
      <c r="N36" s="275"/>
      <c r="O36" s="275"/>
      <c r="P36" s="299"/>
    </row>
    <row r="37" spans="1:14" ht="18" customHeight="1">
      <c r="A37" s="269" t="s">
        <v>352</v>
      </c>
      <c r="B37" s="270"/>
      <c r="C37" s="271"/>
      <c r="D37" s="272"/>
      <c r="E37" s="271"/>
      <c r="F37" s="272">
        <f>SUM(F35:F36)</f>
        <v>1510</v>
      </c>
      <c r="G37" s="273">
        <f>SUM(G35:G36)</f>
        <v>1510</v>
      </c>
      <c r="H37" s="301"/>
      <c r="J37" s="56" t="s">
        <v>472</v>
      </c>
      <c r="K37" s="281">
        <f>NPV('Farm and Buffer Assumptions'!C29,K34:AD34)</f>
        <v>1722.4101605765336</v>
      </c>
      <c r="M37" s="287">
        <f>K28</f>
        <v>1510</v>
      </c>
      <c r="N37" s="283" t="s">
        <v>338</v>
      </c>
    </row>
    <row r="38" spans="1:14" ht="18" customHeight="1">
      <c r="A38" s="276"/>
      <c r="B38" s="277"/>
      <c r="C38" s="278"/>
      <c r="D38" s="278"/>
      <c r="E38" s="278"/>
      <c r="F38" s="279"/>
      <c r="G38" s="280"/>
      <c r="H38" s="133"/>
      <c r="J38" s="56" t="s">
        <v>473</v>
      </c>
      <c r="K38" s="281">
        <f>NPV('Farm and Buffer Assumptions'!C29,K34:AN34)</f>
        <v>1352.2394650068545</v>
      </c>
      <c r="M38" s="284">
        <f>NPV('Farm and Buffer Assumptions'!C29,K29:N29)</f>
        <v>266.8356762718392</v>
      </c>
      <c r="N38" s="54" t="s">
        <v>375</v>
      </c>
    </row>
    <row r="39" spans="1:25" ht="18" customHeight="1">
      <c r="A39" s="683" t="s">
        <v>354</v>
      </c>
      <c r="B39" s="683"/>
      <c r="C39" s="337"/>
      <c r="D39" s="337"/>
      <c r="E39" s="337"/>
      <c r="F39" s="650"/>
      <c r="G39" s="755"/>
      <c r="H39" s="655"/>
      <c r="J39" s="56" t="s">
        <v>474</v>
      </c>
      <c r="K39" s="281">
        <f>NPV('Farm and Buffer Assumptions'!C29,K34:AX34)</f>
        <v>1102.1654067306567</v>
      </c>
      <c r="L39" s="2"/>
      <c r="M39" s="285">
        <f>NPV('Farm and Buffer Assumptions'!C29,K30:Y30)</f>
        <v>2557.2291093986673</v>
      </c>
      <c r="N39" s="283" t="s">
        <v>342</v>
      </c>
      <c r="O39" s="2"/>
      <c r="P39" s="2"/>
      <c r="Q39" s="2"/>
      <c r="R39" s="2"/>
      <c r="S39" s="2"/>
      <c r="T39" s="2"/>
      <c r="U39" s="2"/>
      <c r="V39" s="2"/>
      <c r="W39" s="2"/>
      <c r="X39" s="2"/>
      <c r="Y39" s="2"/>
    </row>
    <row r="40" spans="1:14" ht="18" customHeight="1">
      <c r="A40" s="134" t="s">
        <v>376</v>
      </c>
      <c r="B40" s="134" t="s">
        <v>357</v>
      </c>
      <c r="C40" s="134" t="s">
        <v>17</v>
      </c>
      <c r="D40" s="266">
        <f>Prices!C37</f>
        <v>50</v>
      </c>
      <c r="E40" s="244">
        <v>2</v>
      </c>
      <c r="F40" s="257">
        <f>E40*D40</f>
        <v>100</v>
      </c>
      <c r="G40" s="756">
        <f>(F40/'Farm and Buffer Assumptions'!C29)</f>
        <v>2500</v>
      </c>
      <c r="H40" s="133" t="s">
        <v>377</v>
      </c>
      <c r="J40" s="56" t="s">
        <v>475</v>
      </c>
      <c r="K40" s="281">
        <f>NPV('Farm and Buffer Assumptions'!C29,K34:BH34)</f>
        <v>933.2243334064029</v>
      </c>
      <c r="M40" s="284">
        <f>K31</f>
        <v>0</v>
      </c>
      <c r="N40" s="283" t="s">
        <v>344</v>
      </c>
    </row>
    <row r="41" spans="1:14" ht="18" customHeight="1">
      <c r="A41" s="286" t="s">
        <v>359</v>
      </c>
      <c r="B41" s="278"/>
      <c r="C41" s="278"/>
      <c r="D41" s="278"/>
      <c r="E41" s="278"/>
      <c r="F41" s="272">
        <f>SUM(F40:F40)</f>
        <v>100</v>
      </c>
      <c r="G41" s="273">
        <f>SUM(G40:G40)</f>
        <v>2500</v>
      </c>
      <c r="H41" s="133"/>
      <c r="J41" s="56" t="s">
        <v>476</v>
      </c>
      <c r="K41" s="281">
        <f>NPV('Farm and Buffer Assumptions'!C29,K34:BR34)</f>
        <v>819.0937976255648</v>
      </c>
      <c r="M41" s="287">
        <f>K32</f>
        <v>1510</v>
      </c>
      <c r="N41" s="288" t="s">
        <v>360</v>
      </c>
    </row>
    <row r="42" spans="1:14" ht="18" customHeight="1">
      <c r="A42" s="134"/>
      <c r="B42" s="134"/>
      <c r="C42" s="134"/>
      <c r="D42" s="266"/>
      <c r="E42" s="244"/>
      <c r="F42" s="244"/>
      <c r="G42" s="756"/>
      <c r="H42" s="133"/>
      <c r="J42" s="56" t="s">
        <v>477</v>
      </c>
      <c r="K42" s="281">
        <f>NPV('Farm and Buffer Assumptions'!C29,K34:CB34)</f>
        <v>741.99129708314</v>
      </c>
      <c r="M42" s="284">
        <f>NPV('Farm and Buffer Assumptions'!C29,K33:DF33)</f>
        <v>2354.3460535613513</v>
      </c>
      <c r="N42" t="s">
        <v>481</v>
      </c>
    </row>
    <row r="43" spans="1:13" ht="18" customHeight="1">
      <c r="A43" s="260" t="s">
        <v>361</v>
      </c>
      <c r="B43" s="260"/>
      <c r="C43" s="260"/>
      <c r="D43" s="289"/>
      <c r="E43" s="290"/>
      <c r="F43" s="290"/>
      <c r="G43" s="757">
        <f>G37+G41</f>
        <v>4010</v>
      </c>
      <c r="H43" s="300"/>
      <c r="J43" s="56" t="s">
        <v>478</v>
      </c>
      <c r="K43" s="281">
        <f>NPV('Farm and Buffer Assumptions'!C29,K34:CL34)</f>
        <v>689.9036103898061</v>
      </c>
      <c r="M43" s="284"/>
    </row>
    <row r="44" spans="1:14" ht="18" customHeight="1">
      <c r="A44" s="134"/>
      <c r="B44" s="134"/>
      <c r="C44" s="134"/>
      <c r="D44" s="134"/>
      <c r="E44" s="134"/>
      <c r="F44" s="257"/>
      <c r="G44" s="753"/>
      <c r="H44" s="133"/>
      <c r="J44" s="56" t="s">
        <v>479</v>
      </c>
      <c r="K44" s="281">
        <f>NPV('Farm and Buffer Assumptions'!C29,K34:CV34)</f>
        <v>654.7150356227654</v>
      </c>
      <c r="M44" s="292">
        <f>SUM(M37:M40)-SUM(M41:M43)</f>
        <v>469.7187321091551</v>
      </c>
      <c r="N44" t="s">
        <v>364</v>
      </c>
    </row>
    <row r="45" spans="1:11" ht="18" customHeight="1">
      <c r="A45" s="137" t="s">
        <v>363</v>
      </c>
      <c r="B45" s="137"/>
      <c r="C45" s="137"/>
      <c r="D45" s="137"/>
      <c r="E45" s="137"/>
      <c r="F45" s="281"/>
      <c r="G45" s="758">
        <f>G32-G43</f>
        <v>502.41134250029063</v>
      </c>
      <c r="H45" s="301"/>
      <c r="J45" s="56" t="s">
        <v>480</v>
      </c>
      <c r="K45" s="281">
        <f>NPV('Farm and Buffer Assumptions'!C29,K34:DF34)</f>
        <v>630.9428953581051</v>
      </c>
    </row>
    <row r="46" spans="1:11" ht="52.5" customHeight="1">
      <c r="A46" s="817" t="s">
        <v>484</v>
      </c>
      <c r="B46" s="814"/>
      <c r="C46" s="814"/>
      <c r="D46" s="814"/>
      <c r="E46" s="814"/>
      <c r="F46" s="814"/>
      <c r="G46" s="814"/>
      <c r="H46" s="814"/>
      <c r="J46" t="s">
        <v>366</v>
      </c>
      <c r="K46" s="294">
        <f>K45-G45</f>
        <v>128.53155285781452</v>
      </c>
    </row>
    <row r="47" spans="1:8" ht="21" customHeight="1">
      <c r="A47" s="819" t="s">
        <v>365</v>
      </c>
      <c r="B47" s="814"/>
      <c r="C47" s="814"/>
      <c r="D47" s="814"/>
      <c r="E47" s="814"/>
      <c r="F47" s="814"/>
      <c r="G47" s="814"/>
      <c r="H47" s="814"/>
    </row>
    <row r="48" spans="1:8" ht="27" customHeight="1">
      <c r="A48" s="814" t="s">
        <v>367</v>
      </c>
      <c r="B48" s="814"/>
      <c r="C48" s="814"/>
      <c r="D48" s="814"/>
      <c r="E48" s="814"/>
      <c r="F48" s="814"/>
      <c r="G48" s="814"/>
      <c r="H48" s="814"/>
    </row>
    <row r="49" spans="1:8" ht="38.25" customHeight="1">
      <c r="A49" s="814" t="s">
        <v>483</v>
      </c>
      <c r="B49" s="814"/>
      <c r="C49" s="814"/>
      <c r="D49" s="814"/>
      <c r="E49" s="814"/>
      <c r="F49" s="814"/>
      <c r="G49" s="814"/>
      <c r="H49" s="814"/>
    </row>
    <row r="50" spans="1:11" ht="29.25" customHeight="1" thickBot="1">
      <c r="A50" s="2"/>
      <c r="B50" s="2"/>
      <c r="C50" s="2"/>
      <c r="D50" s="2"/>
      <c r="E50" s="2"/>
      <c r="H50" s="2"/>
      <c r="K50" t="s">
        <v>331</v>
      </c>
    </row>
    <row r="51" spans="1:110" ht="40.5" customHeight="1" thickBot="1">
      <c r="A51" s="675" t="s">
        <v>378</v>
      </c>
      <c r="B51" s="652" t="s">
        <v>333</v>
      </c>
      <c r="C51" s="652" t="s">
        <v>2</v>
      </c>
      <c r="D51" s="653" t="s">
        <v>3</v>
      </c>
      <c r="E51" s="653" t="s">
        <v>4</v>
      </c>
      <c r="F51" s="653" t="s">
        <v>5</v>
      </c>
      <c r="G51" s="653" t="s">
        <v>334</v>
      </c>
      <c r="H51" s="652" t="s">
        <v>335</v>
      </c>
      <c r="J51" s="256" t="s">
        <v>336</v>
      </c>
      <c r="K51" s="134">
        <v>1</v>
      </c>
      <c r="L51" s="134">
        <v>2</v>
      </c>
      <c r="M51" s="134">
        <v>3</v>
      </c>
      <c r="N51" s="134">
        <v>4</v>
      </c>
      <c r="O51" s="134">
        <v>5</v>
      </c>
      <c r="P51" s="134">
        <v>6</v>
      </c>
      <c r="Q51" s="134">
        <v>7</v>
      </c>
      <c r="R51" s="134">
        <v>8</v>
      </c>
      <c r="S51" s="134">
        <v>9</v>
      </c>
      <c r="T51" s="134">
        <v>10</v>
      </c>
      <c r="U51" s="134">
        <v>11</v>
      </c>
      <c r="V51" s="134">
        <v>12</v>
      </c>
      <c r="W51" s="134">
        <v>13</v>
      </c>
      <c r="X51" s="134">
        <v>14</v>
      </c>
      <c r="Y51" s="134">
        <v>15</v>
      </c>
      <c r="Z51" s="132">
        <v>16</v>
      </c>
      <c r="AA51" s="132">
        <v>17</v>
      </c>
      <c r="AB51" s="132">
        <v>18</v>
      </c>
      <c r="AC51" s="132">
        <v>19</v>
      </c>
      <c r="AD51" s="132">
        <v>20</v>
      </c>
      <c r="AE51" s="132">
        <v>21</v>
      </c>
      <c r="AF51" s="132">
        <v>22</v>
      </c>
      <c r="AG51" s="132">
        <v>23</v>
      </c>
      <c r="AH51" s="132">
        <v>24</v>
      </c>
      <c r="AI51" s="132">
        <v>25</v>
      </c>
      <c r="AJ51" s="132">
        <v>26</v>
      </c>
      <c r="AK51" s="132">
        <v>27</v>
      </c>
      <c r="AL51" s="132">
        <v>28</v>
      </c>
      <c r="AM51" s="132">
        <v>29</v>
      </c>
      <c r="AN51" s="132">
        <v>30</v>
      </c>
      <c r="AO51" s="132">
        <v>31</v>
      </c>
      <c r="AP51" s="132">
        <v>32</v>
      </c>
      <c r="AQ51" s="132">
        <v>33</v>
      </c>
      <c r="AR51" s="132">
        <v>34</v>
      </c>
      <c r="AS51" s="132">
        <v>35</v>
      </c>
      <c r="AT51" s="132">
        <v>36</v>
      </c>
      <c r="AU51" s="132">
        <v>37</v>
      </c>
      <c r="AV51" s="132">
        <v>38</v>
      </c>
      <c r="AW51" s="132">
        <v>39</v>
      </c>
      <c r="AX51" s="132">
        <v>40</v>
      </c>
      <c r="AY51" s="132">
        <v>41</v>
      </c>
      <c r="AZ51" s="132">
        <v>42</v>
      </c>
      <c r="BA51" s="132">
        <v>43</v>
      </c>
      <c r="BB51" s="132">
        <v>44</v>
      </c>
      <c r="BC51" s="132">
        <v>45</v>
      </c>
      <c r="BD51" s="132">
        <v>46</v>
      </c>
      <c r="BE51" s="132">
        <v>47</v>
      </c>
      <c r="BF51" s="132">
        <v>48</v>
      </c>
      <c r="BG51" s="132">
        <v>49</v>
      </c>
      <c r="BH51" s="132">
        <v>50</v>
      </c>
      <c r="BI51" s="132">
        <v>51</v>
      </c>
      <c r="BJ51" s="132">
        <v>52</v>
      </c>
      <c r="BK51" s="132">
        <v>53</v>
      </c>
      <c r="BL51" s="132">
        <v>54</v>
      </c>
      <c r="BM51" s="132">
        <v>55</v>
      </c>
      <c r="BN51" s="132">
        <v>56</v>
      </c>
      <c r="BO51" s="132">
        <v>57</v>
      </c>
      <c r="BP51" s="132">
        <v>58</v>
      </c>
      <c r="BQ51" s="132">
        <v>59</v>
      </c>
      <c r="BR51" s="132">
        <v>60</v>
      </c>
      <c r="BS51" s="132">
        <v>61</v>
      </c>
      <c r="BT51" s="132">
        <v>62</v>
      </c>
      <c r="BU51" s="132">
        <v>63</v>
      </c>
      <c r="BV51" s="132">
        <v>64</v>
      </c>
      <c r="BW51" s="132">
        <v>65</v>
      </c>
      <c r="BX51" s="132">
        <v>66</v>
      </c>
      <c r="BY51" s="132">
        <v>67</v>
      </c>
      <c r="BZ51" s="132">
        <v>68</v>
      </c>
      <c r="CA51" s="132">
        <v>69</v>
      </c>
      <c r="CB51" s="132">
        <v>70</v>
      </c>
      <c r="CC51" s="132">
        <v>71</v>
      </c>
      <c r="CD51" s="132">
        <v>72</v>
      </c>
      <c r="CE51" s="132">
        <v>73</v>
      </c>
      <c r="CF51" s="132">
        <v>74</v>
      </c>
      <c r="CG51" s="132">
        <v>75</v>
      </c>
      <c r="CH51" s="132">
        <v>76</v>
      </c>
      <c r="CI51" s="132">
        <v>77</v>
      </c>
      <c r="CJ51" s="132">
        <v>78</v>
      </c>
      <c r="CK51" s="132">
        <v>79</v>
      </c>
      <c r="CL51" s="132">
        <v>80</v>
      </c>
      <c r="CM51" s="132">
        <v>81</v>
      </c>
      <c r="CN51" s="132">
        <v>82</v>
      </c>
      <c r="CO51" s="132">
        <v>83</v>
      </c>
      <c r="CP51" s="132">
        <v>84</v>
      </c>
      <c r="CQ51" s="132">
        <v>85</v>
      </c>
      <c r="CR51" s="132">
        <v>86</v>
      </c>
      <c r="CS51" s="132">
        <v>87</v>
      </c>
      <c r="CT51" s="132">
        <v>88</v>
      </c>
      <c r="CU51" s="132">
        <v>89</v>
      </c>
      <c r="CV51" s="132">
        <v>90</v>
      </c>
      <c r="CW51" s="132">
        <v>91</v>
      </c>
      <c r="CX51" s="132">
        <v>92</v>
      </c>
      <c r="CY51" s="132">
        <v>93</v>
      </c>
      <c r="CZ51" s="132">
        <v>94</v>
      </c>
      <c r="DA51" s="132">
        <v>95</v>
      </c>
      <c r="DB51" s="132">
        <v>96</v>
      </c>
      <c r="DC51" s="132">
        <v>97</v>
      </c>
      <c r="DD51" s="132">
        <v>98</v>
      </c>
      <c r="DE51" s="132">
        <v>99</v>
      </c>
      <c r="DF51" s="132">
        <v>100</v>
      </c>
    </row>
    <row r="52" spans="1:110" ht="18" customHeight="1">
      <c r="A52" s="679" t="s">
        <v>399</v>
      </c>
      <c r="B52" s="680"/>
      <c r="C52" s="658"/>
      <c r="D52" s="659"/>
      <c r="E52" s="681"/>
      <c r="F52" s="659"/>
      <c r="G52" s="681"/>
      <c r="H52" s="762"/>
      <c r="J52" s="134" t="s">
        <v>337</v>
      </c>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row>
    <row r="53" spans="1:110" ht="18" customHeight="1">
      <c r="A53" s="133" t="s">
        <v>338</v>
      </c>
      <c r="B53" s="134">
        <v>1</v>
      </c>
      <c r="C53" s="134" t="s">
        <v>17</v>
      </c>
      <c r="D53" s="134">
        <f>IF('Farm and Buffer Assumptions'!C64=1,F65*'Farm and Buffer Assumptions'!C47,0)</f>
        <v>0</v>
      </c>
      <c r="E53" s="244">
        <v>1</v>
      </c>
      <c r="F53" s="257">
        <f>E53*D53</f>
        <v>0</v>
      </c>
      <c r="G53" s="258">
        <f>F53</f>
        <v>0</v>
      </c>
      <c r="H53" s="317"/>
      <c r="J53" s="134" t="s">
        <v>339</v>
      </c>
      <c r="K53" s="257">
        <f>F53</f>
        <v>0</v>
      </c>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row>
    <row r="54" spans="1:110" ht="18" customHeight="1">
      <c r="A54" s="133" t="s">
        <v>340</v>
      </c>
      <c r="B54" s="134">
        <f>'Farm and Buffer Assumptions'!C50</f>
        <v>5</v>
      </c>
      <c r="C54" s="134" t="s">
        <v>17</v>
      </c>
      <c r="D54" s="134">
        <f>IF('Farm and Buffer Assumptions'!C65=1,F72*'Farm and Buffer Assumptions'!C48,0)</f>
        <v>0</v>
      </c>
      <c r="E54" s="244">
        <v>1</v>
      </c>
      <c r="F54" s="257">
        <f>E54*D54</f>
        <v>0</v>
      </c>
      <c r="G54" s="258">
        <f>(-PV('Farm and Buffer Assumptions'!C29,B54,F54))</f>
        <v>0</v>
      </c>
      <c r="H54" s="317"/>
      <c r="J54" s="134" t="s">
        <v>341</v>
      </c>
      <c r="K54" s="134">
        <v>0</v>
      </c>
      <c r="L54" s="257">
        <f>IF(L51=($B$54+1),$F$54,IF(L51&lt;=$B$54,$F$54,0))</f>
        <v>0</v>
      </c>
      <c r="M54" s="257">
        <f aca="true" t="shared" si="17" ref="M54:BX54">IF(M51=($B$54+1),$F$54,IF(M51&lt;=$B$54,$F$54,0))</f>
        <v>0</v>
      </c>
      <c r="N54" s="257">
        <f t="shared" si="17"/>
        <v>0</v>
      </c>
      <c r="O54" s="257">
        <f t="shared" si="17"/>
        <v>0</v>
      </c>
      <c r="P54" s="257">
        <f t="shared" si="17"/>
        <v>0</v>
      </c>
      <c r="Q54" s="257">
        <f t="shared" si="17"/>
        <v>0</v>
      </c>
      <c r="R54" s="257">
        <f t="shared" si="17"/>
        <v>0</v>
      </c>
      <c r="S54" s="257">
        <f t="shared" si="17"/>
        <v>0</v>
      </c>
      <c r="T54" s="257">
        <f t="shared" si="17"/>
        <v>0</v>
      </c>
      <c r="U54" s="257">
        <f t="shared" si="17"/>
        <v>0</v>
      </c>
      <c r="V54" s="257">
        <f t="shared" si="17"/>
        <v>0</v>
      </c>
      <c r="W54" s="257">
        <f t="shared" si="17"/>
        <v>0</v>
      </c>
      <c r="X54" s="257">
        <f t="shared" si="17"/>
        <v>0</v>
      </c>
      <c r="Y54" s="257">
        <f t="shared" si="17"/>
        <v>0</v>
      </c>
      <c r="Z54" s="257">
        <f t="shared" si="17"/>
        <v>0</v>
      </c>
      <c r="AA54" s="257">
        <f t="shared" si="17"/>
        <v>0</v>
      </c>
      <c r="AB54" s="257">
        <f t="shared" si="17"/>
        <v>0</v>
      </c>
      <c r="AC54" s="257">
        <f t="shared" si="17"/>
        <v>0</v>
      </c>
      <c r="AD54" s="257">
        <f t="shared" si="17"/>
        <v>0</v>
      </c>
      <c r="AE54" s="257">
        <f t="shared" si="17"/>
        <v>0</v>
      </c>
      <c r="AF54" s="257">
        <f t="shared" si="17"/>
        <v>0</v>
      </c>
      <c r="AG54" s="257">
        <f t="shared" si="17"/>
        <v>0</v>
      </c>
      <c r="AH54" s="257">
        <f t="shared" si="17"/>
        <v>0</v>
      </c>
      <c r="AI54" s="257">
        <f t="shared" si="17"/>
        <v>0</v>
      </c>
      <c r="AJ54" s="257">
        <f t="shared" si="17"/>
        <v>0</v>
      </c>
      <c r="AK54" s="257">
        <f t="shared" si="17"/>
        <v>0</v>
      </c>
      <c r="AL54" s="257">
        <f t="shared" si="17"/>
        <v>0</v>
      </c>
      <c r="AM54" s="257">
        <f t="shared" si="17"/>
        <v>0</v>
      </c>
      <c r="AN54" s="257">
        <f t="shared" si="17"/>
        <v>0</v>
      </c>
      <c r="AO54" s="257">
        <f t="shared" si="17"/>
        <v>0</v>
      </c>
      <c r="AP54" s="257">
        <f t="shared" si="17"/>
        <v>0</v>
      </c>
      <c r="AQ54" s="257">
        <f t="shared" si="17"/>
        <v>0</v>
      </c>
      <c r="AR54" s="257">
        <f t="shared" si="17"/>
        <v>0</v>
      </c>
      <c r="AS54" s="257">
        <f t="shared" si="17"/>
        <v>0</v>
      </c>
      <c r="AT54" s="257">
        <f t="shared" si="17"/>
        <v>0</v>
      </c>
      <c r="AU54" s="257">
        <f t="shared" si="17"/>
        <v>0</v>
      </c>
      <c r="AV54" s="257">
        <f t="shared" si="17"/>
        <v>0</v>
      </c>
      <c r="AW54" s="257">
        <f t="shared" si="17"/>
        <v>0</v>
      </c>
      <c r="AX54" s="257">
        <f t="shared" si="17"/>
        <v>0</v>
      </c>
      <c r="AY54" s="257">
        <f t="shared" si="17"/>
        <v>0</v>
      </c>
      <c r="AZ54" s="257">
        <f t="shared" si="17"/>
        <v>0</v>
      </c>
      <c r="BA54" s="257">
        <f t="shared" si="17"/>
        <v>0</v>
      </c>
      <c r="BB54" s="257">
        <f t="shared" si="17"/>
        <v>0</v>
      </c>
      <c r="BC54" s="257">
        <f t="shared" si="17"/>
        <v>0</v>
      </c>
      <c r="BD54" s="257">
        <f t="shared" si="17"/>
        <v>0</v>
      </c>
      <c r="BE54" s="257">
        <f t="shared" si="17"/>
        <v>0</v>
      </c>
      <c r="BF54" s="257">
        <f t="shared" si="17"/>
        <v>0</v>
      </c>
      <c r="BG54" s="257">
        <f t="shared" si="17"/>
        <v>0</v>
      </c>
      <c r="BH54" s="257">
        <f t="shared" si="17"/>
        <v>0</v>
      </c>
      <c r="BI54" s="257">
        <f t="shared" si="17"/>
        <v>0</v>
      </c>
      <c r="BJ54" s="257">
        <f t="shared" si="17"/>
        <v>0</v>
      </c>
      <c r="BK54" s="257">
        <f t="shared" si="17"/>
        <v>0</v>
      </c>
      <c r="BL54" s="257">
        <f t="shared" si="17"/>
        <v>0</v>
      </c>
      <c r="BM54" s="257">
        <f t="shared" si="17"/>
        <v>0</v>
      </c>
      <c r="BN54" s="257">
        <f t="shared" si="17"/>
        <v>0</v>
      </c>
      <c r="BO54" s="257">
        <f t="shared" si="17"/>
        <v>0</v>
      </c>
      <c r="BP54" s="257">
        <f t="shared" si="17"/>
        <v>0</v>
      </c>
      <c r="BQ54" s="257">
        <f t="shared" si="17"/>
        <v>0</v>
      </c>
      <c r="BR54" s="257">
        <f t="shared" si="17"/>
        <v>0</v>
      </c>
      <c r="BS54" s="257">
        <f t="shared" si="17"/>
        <v>0</v>
      </c>
      <c r="BT54" s="257">
        <f t="shared" si="17"/>
        <v>0</v>
      </c>
      <c r="BU54" s="257">
        <f t="shared" si="17"/>
        <v>0</v>
      </c>
      <c r="BV54" s="257">
        <f t="shared" si="17"/>
        <v>0</v>
      </c>
      <c r="BW54" s="257">
        <f t="shared" si="17"/>
        <v>0</v>
      </c>
      <c r="BX54" s="257">
        <f t="shared" si="17"/>
        <v>0</v>
      </c>
      <c r="BY54" s="257">
        <f aca="true" t="shared" si="18" ref="BY54:DF54">IF(BY51=($B$54+1),$F$54,IF(BY51&lt;=$B$54,$F$54,0))</f>
        <v>0</v>
      </c>
      <c r="BZ54" s="257">
        <f t="shared" si="18"/>
        <v>0</v>
      </c>
      <c r="CA54" s="257">
        <f t="shared" si="18"/>
        <v>0</v>
      </c>
      <c r="CB54" s="257">
        <f t="shared" si="18"/>
        <v>0</v>
      </c>
      <c r="CC54" s="257">
        <f t="shared" si="18"/>
        <v>0</v>
      </c>
      <c r="CD54" s="257">
        <f t="shared" si="18"/>
        <v>0</v>
      </c>
      <c r="CE54" s="257">
        <f t="shared" si="18"/>
        <v>0</v>
      </c>
      <c r="CF54" s="257">
        <f t="shared" si="18"/>
        <v>0</v>
      </c>
      <c r="CG54" s="257">
        <f t="shared" si="18"/>
        <v>0</v>
      </c>
      <c r="CH54" s="257">
        <f t="shared" si="18"/>
        <v>0</v>
      </c>
      <c r="CI54" s="257">
        <f t="shared" si="18"/>
        <v>0</v>
      </c>
      <c r="CJ54" s="257">
        <f t="shared" si="18"/>
        <v>0</v>
      </c>
      <c r="CK54" s="257">
        <f t="shared" si="18"/>
        <v>0</v>
      </c>
      <c r="CL54" s="257">
        <f t="shared" si="18"/>
        <v>0</v>
      </c>
      <c r="CM54" s="257">
        <f t="shared" si="18"/>
        <v>0</v>
      </c>
      <c r="CN54" s="257">
        <f t="shared" si="18"/>
        <v>0</v>
      </c>
      <c r="CO54" s="257">
        <f t="shared" si="18"/>
        <v>0</v>
      </c>
      <c r="CP54" s="257">
        <f t="shared" si="18"/>
        <v>0</v>
      </c>
      <c r="CQ54" s="257">
        <f t="shared" si="18"/>
        <v>0</v>
      </c>
      <c r="CR54" s="257">
        <f t="shared" si="18"/>
        <v>0</v>
      </c>
      <c r="CS54" s="257">
        <f t="shared" si="18"/>
        <v>0</v>
      </c>
      <c r="CT54" s="257">
        <f t="shared" si="18"/>
        <v>0</v>
      </c>
      <c r="CU54" s="257">
        <f t="shared" si="18"/>
        <v>0</v>
      </c>
      <c r="CV54" s="257">
        <f t="shared" si="18"/>
        <v>0</v>
      </c>
      <c r="CW54" s="257">
        <f t="shared" si="18"/>
        <v>0</v>
      </c>
      <c r="CX54" s="257">
        <f t="shared" si="18"/>
        <v>0</v>
      </c>
      <c r="CY54" s="257">
        <f t="shared" si="18"/>
        <v>0</v>
      </c>
      <c r="CZ54" s="257">
        <f t="shared" si="18"/>
        <v>0</v>
      </c>
      <c r="DA54" s="257">
        <f t="shared" si="18"/>
        <v>0</v>
      </c>
      <c r="DB54" s="257">
        <f t="shared" si="18"/>
        <v>0</v>
      </c>
      <c r="DC54" s="257">
        <f t="shared" si="18"/>
        <v>0</v>
      </c>
      <c r="DD54" s="257">
        <f t="shared" si="18"/>
        <v>0</v>
      </c>
      <c r="DE54" s="257">
        <f t="shared" si="18"/>
        <v>0</v>
      </c>
      <c r="DF54" s="257">
        <f t="shared" si="18"/>
        <v>0</v>
      </c>
    </row>
    <row r="55" spans="1:110" ht="18" customHeight="1">
      <c r="A55" s="134" t="s">
        <v>342</v>
      </c>
      <c r="B55" s="134">
        <f>'Farm and Buffer Assumptions'!C44</f>
        <v>15</v>
      </c>
      <c r="C55" s="134" t="s">
        <v>17</v>
      </c>
      <c r="D55" s="134">
        <f>IF('Farm and Buffer Assumptions'!C62=1,Prices!C24*'Farm and Buffer Assumptions'!C45,0)</f>
        <v>0</v>
      </c>
      <c r="E55" s="244">
        <v>1</v>
      </c>
      <c r="F55" s="257">
        <f>E55*D55</f>
        <v>0</v>
      </c>
      <c r="G55" s="258">
        <f>-PV('Farm and Buffer Assumptions'!C29,B55,F55)</f>
        <v>0</v>
      </c>
      <c r="H55" s="317"/>
      <c r="J55" s="134" t="s">
        <v>343</v>
      </c>
      <c r="K55" s="257">
        <f>IF(K51&lt;=$B$55,$F$55,0)</f>
        <v>0</v>
      </c>
      <c r="L55" s="257">
        <f aca="true" t="shared" si="19" ref="L55:BW55">IF(L51&lt;=$B$55,$F$55,0)</f>
        <v>0</v>
      </c>
      <c r="M55" s="257">
        <f t="shared" si="19"/>
        <v>0</v>
      </c>
      <c r="N55" s="257">
        <f t="shared" si="19"/>
        <v>0</v>
      </c>
      <c r="O55" s="257">
        <f t="shared" si="19"/>
        <v>0</v>
      </c>
      <c r="P55" s="257">
        <f t="shared" si="19"/>
        <v>0</v>
      </c>
      <c r="Q55" s="257">
        <f t="shared" si="19"/>
        <v>0</v>
      </c>
      <c r="R55" s="257">
        <f t="shared" si="19"/>
        <v>0</v>
      </c>
      <c r="S55" s="257">
        <f t="shared" si="19"/>
        <v>0</v>
      </c>
      <c r="T55" s="257">
        <f t="shared" si="19"/>
        <v>0</v>
      </c>
      <c r="U55" s="257">
        <f t="shared" si="19"/>
        <v>0</v>
      </c>
      <c r="V55" s="257">
        <f t="shared" si="19"/>
        <v>0</v>
      </c>
      <c r="W55" s="257">
        <f t="shared" si="19"/>
        <v>0</v>
      </c>
      <c r="X55" s="257">
        <f t="shared" si="19"/>
        <v>0</v>
      </c>
      <c r="Y55" s="257">
        <f t="shared" si="19"/>
        <v>0</v>
      </c>
      <c r="Z55" s="257">
        <f t="shared" si="19"/>
        <v>0</v>
      </c>
      <c r="AA55" s="257">
        <f t="shared" si="19"/>
        <v>0</v>
      </c>
      <c r="AB55" s="257">
        <f t="shared" si="19"/>
        <v>0</v>
      </c>
      <c r="AC55" s="257">
        <f t="shared" si="19"/>
        <v>0</v>
      </c>
      <c r="AD55" s="257">
        <f t="shared" si="19"/>
        <v>0</v>
      </c>
      <c r="AE55" s="257">
        <f t="shared" si="19"/>
        <v>0</v>
      </c>
      <c r="AF55" s="257">
        <f t="shared" si="19"/>
        <v>0</v>
      </c>
      <c r="AG55" s="257">
        <f t="shared" si="19"/>
        <v>0</v>
      </c>
      <c r="AH55" s="257">
        <f t="shared" si="19"/>
        <v>0</v>
      </c>
      <c r="AI55" s="257">
        <f t="shared" si="19"/>
        <v>0</v>
      </c>
      <c r="AJ55" s="257">
        <f t="shared" si="19"/>
        <v>0</v>
      </c>
      <c r="AK55" s="257">
        <f t="shared" si="19"/>
        <v>0</v>
      </c>
      <c r="AL55" s="257">
        <f t="shared" si="19"/>
        <v>0</v>
      </c>
      <c r="AM55" s="257">
        <f t="shared" si="19"/>
        <v>0</v>
      </c>
      <c r="AN55" s="257">
        <f t="shared" si="19"/>
        <v>0</v>
      </c>
      <c r="AO55" s="257">
        <f t="shared" si="19"/>
        <v>0</v>
      </c>
      <c r="AP55" s="257">
        <f t="shared" si="19"/>
        <v>0</v>
      </c>
      <c r="AQ55" s="257">
        <f t="shared" si="19"/>
        <v>0</v>
      </c>
      <c r="AR55" s="257">
        <f t="shared" si="19"/>
        <v>0</v>
      </c>
      <c r="AS55" s="257">
        <f t="shared" si="19"/>
        <v>0</v>
      </c>
      <c r="AT55" s="257">
        <f t="shared" si="19"/>
        <v>0</v>
      </c>
      <c r="AU55" s="257">
        <f t="shared" si="19"/>
        <v>0</v>
      </c>
      <c r="AV55" s="257">
        <f t="shared" si="19"/>
        <v>0</v>
      </c>
      <c r="AW55" s="257">
        <f t="shared" si="19"/>
        <v>0</v>
      </c>
      <c r="AX55" s="257">
        <f t="shared" si="19"/>
        <v>0</v>
      </c>
      <c r="AY55" s="257">
        <f t="shared" si="19"/>
        <v>0</v>
      </c>
      <c r="AZ55" s="257">
        <f t="shared" si="19"/>
        <v>0</v>
      </c>
      <c r="BA55" s="257">
        <f t="shared" si="19"/>
        <v>0</v>
      </c>
      <c r="BB55" s="257">
        <f t="shared" si="19"/>
        <v>0</v>
      </c>
      <c r="BC55" s="257">
        <f t="shared" si="19"/>
        <v>0</v>
      </c>
      <c r="BD55" s="257">
        <f t="shared" si="19"/>
        <v>0</v>
      </c>
      <c r="BE55" s="257">
        <f t="shared" si="19"/>
        <v>0</v>
      </c>
      <c r="BF55" s="257">
        <f t="shared" si="19"/>
        <v>0</v>
      </c>
      <c r="BG55" s="257">
        <f t="shared" si="19"/>
        <v>0</v>
      </c>
      <c r="BH55" s="257">
        <f t="shared" si="19"/>
        <v>0</v>
      </c>
      <c r="BI55" s="257">
        <f t="shared" si="19"/>
        <v>0</v>
      </c>
      <c r="BJ55" s="257">
        <f t="shared" si="19"/>
        <v>0</v>
      </c>
      <c r="BK55" s="257">
        <f t="shared" si="19"/>
        <v>0</v>
      </c>
      <c r="BL55" s="257">
        <f t="shared" si="19"/>
        <v>0</v>
      </c>
      <c r="BM55" s="257">
        <f t="shared" si="19"/>
        <v>0</v>
      </c>
      <c r="BN55" s="257">
        <f t="shared" si="19"/>
        <v>0</v>
      </c>
      <c r="BO55" s="257">
        <f t="shared" si="19"/>
        <v>0</v>
      </c>
      <c r="BP55" s="257">
        <f t="shared" si="19"/>
        <v>0</v>
      </c>
      <c r="BQ55" s="257">
        <f t="shared" si="19"/>
        <v>0</v>
      </c>
      <c r="BR55" s="257">
        <f t="shared" si="19"/>
        <v>0</v>
      </c>
      <c r="BS55" s="257">
        <f t="shared" si="19"/>
        <v>0</v>
      </c>
      <c r="BT55" s="257">
        <f t="shared" si="19"/>
        <v>0</v>
      </c>
      <c r="BU55" s="257">
        <f t="shared" si="19"/>
        <v>0</v>
      </c>
      <c r="BV55" s="257">
        <f t="shared" si="19"/>
        <v>0</v>
      </c>
      <c r="BW55" s="257">
        <f t="shared" si="19"/>
        <v>0</v>
      </c>
      <c r="BX55" s="257">
        <f aca="true" t="shared" si="20" ref="BX55:DF55">IF(BX51&lt;=$B$55,$F$55,0)</f>
        <v>0</v>
      </c>
      <c r="BY55" s="257">
        <f t="shared" si="20"/>
        <v>0</v>
      </c>
      <c r="BZ55" s="257">
        <f t="shared" si="20"/>
        <v>0</v>
      </c>
      <c r="CA55" s="257">
        <f t="shared" si="20"/>
        <v>0</v>
      </c>
      <c r="CB55" s="257">
        <f t="shared" si="20"/>
        <v>0</v>
      </c>
      <c r="CC55" s="257">
        <f t="shared" si="20"/>
        <v>0</v>
      </c>
      <c r="CD55" s="257">
        <f t="shared" si="20"/>
        <v>0</v>
      </c>
      <c r="CE55" s="257">
        <f t="shared" si="20"/>
        <v>0</v>
      </c>
      <c r="CF55" s="257">
        <f t="shared" si="20"/>
        <v>0</v>
      </c>
      <c r="CG55" s="257">
        <f t="shared" si="20"/>
        <v>0</v>
      </c>
      <c r="CH55" s="257">
        <f t="shared" si="20"/>
        <v>0</v>
      </c>
      <c r="CI55" s="257">
        <f t="shared" si="20"/>
        <v>0</v>
      </c>
      <c r="CJ55" s="257">
        <f t="shared" si="20"/>
        <v>0</v>
      </c>
      <c r="CK55" s="257">
        <f t="shared" si="20"/>
        <v>0</v>
      </c>
      <c r="CL55" s="257">
        <f t="shared" si="20"/>
        <v>0</v>
      </c>
      <c r="CM55" s="257">
        <f t="shared" si="20"/>
        <v>0</v>
      </c>
      <c r="CN55" s="257">
        <f t="shared" si="20"/>
        <v>0</v>
      </c>
      <c r="CO55" s="257">
        <f t="shared" si="20"/>
        <v>0</v>
      </c>
      <c r="CP55" s="257">
        <f t="shared" si="20"/>
        <v>0</v>
      </c>
      <c r="CQ55" s="257">
        <f t="shared" si="20"/>
        <v>0</v>
      </c>
      <c r="CR55" s="257">
        <f t="shared" si="20"/>
        <v>0</v>
      </c>
      <c r="CS55" s="257">
        <f t="shared" si="20"/>
        <v>0</v>
      </c>
      <c r="CT55" s="257">
        <f t="shared" si="20"/>
        <v>0</v>
      </c>
      <c r="CU55" s="257">
        <f t="shared" si="20"/>
        <v>0</v>
      </c>
      <c r="CV55" s="257">
        <f t="shared" si="20"/>
        <v>0</v>
      </c>
      <c r="CW55" s="257">
        <f t="shared" si="20"/>
        <v>0</v>
      </c>
      <c r="CX55" s="257">
        <f t="shared" si="20"/>
        <v>0</v>
      </c>
      <c r="CY55" s="257">
        <f t="shared" si="20"/>
        <v>0</v>
      </c>
      <c r="CZ55" s="257">
        <f t="shared" si="20"/>
        <v>0</v>
      </c>
      <c r="DA55" s="257">
        <f t="shared" si="20"/>
        <v>0</v>
      </c>
      <c r="DB55" s="257">
        <f t="shared" si="20"/>
        <v>0</v>
      </c>
      <c r="DC55" s="257">
        <f t="shared" si="20"/>
        <v>0</v>
      </c>
      <c r="DD55" s="257">
        <f t="shared" si="20"/>
        <v>0</v>
      </c>
      <c r="DE55" s="257">
        <f t="shared" si="20"/>
        <v>0</v>
      </c>
      <c r="DF55" s="257">
        <f t="shared" si="20"/>
        <v>0</v>
      </c>
    </row>
    <row r="56" spans="1:110" ht="18" customHeight="1">
      <c r="A56" s="134" t="s">
        <v>344</v>
      </c>
      <c r="B56" s="134">
        <v>1</v>
      </c>
      <c r="C56" s="134" t="s">
        <v>17</v>
      </c>
      <c r="D56" s="134">
        <f>IF('Farm and Buffer Assumptions'!C63=1,'Farm and Buffer Assumptions'!C46,0)</f>
        <v>0</v>
      </c>
      <c r="E56" s="244">
        <v>1</v>
      </c>
      <c r="F56" s="257">
        <f>E56*D56</f>
        <v>0</v>
      </c>
      <c r="G56" s="258">
        <f>F56</f>
        <v>0</v>
      </c>
      <c r="H56" s="317"/>
      <c r="J56" s="134" t="s">
        <v>345</v>
      </c>
      <c r="K56" s="257">
        <f>F56</f>
        <v>0</v>
      </c>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row>
    <row r="57" spans="1:110" ht="18" customHeight="1">
      <c r="A57" s="133" t="s">
        <v>379</v>
      </c>
      <c r="B57" s="133" t="s">
        <v>357</v>
      </c>
      <c r="C57" s="133" t="s">
        <v>11</v>
      </c>
      <c r="D57" s="204">
        <f>Prices!C5</f>
        <v>114</v>
      </c>
      <c r="E57" s="204">
        <f>'Farm and Buffer Assumptions'!C30</f>
        <v>2.4</v>
      </c>
      <c r="F57" s="203">
        <f>E57*D57</f>
        <v>273.59999999999997</v>
      </c>
      <c r="G57" s="298">
        <f>(F57/'Farm and Buffer Assumptions'!C29)</f>
        <v>6839.999999999999</v>
      </c>
      <c r="H57" s="317"/>
      <c r="J57" s="133" t="s">
        <v>380</v>
      </c>
      <c r="K57" s="257">
        <f>$F$57</f>
        <v>273.59999999999997</v>
      </c>
      <c r="L57" s="257">
        <f>$F$57</f>
        <v>273.59999999999997</v>
      </c>
      <c r="M57" s="257">
        <f aca="true" t="shared" si="21" ref="M57:BX57">$F$57</f>
        <v>273.59999999999997</v>
      </c>
      <c r="N57" s="257">
        <f t="shared" si="21"/>
        <v>273.59999999999997</v>
      </c>
      <c r="O57" s="257">
        <f t="shared" si="21"/>
        <v>273.59999999999997</v>
      </c>
      <c r="P57" s="257">
        <f t="shared" si="21"/>
        <v>273.59999999999997</v>
      </c>
      <c r="Q57" s="257">
        <f t="shared" si="21"/>
        <v>273.59999999999997</v>
      </c>
      <c r="R57" s="257">
        <f t="shared" si="21"/>
        <v>273.59999999999997</v>
      </c>
      <c r="S57" s="257">
        <f t="shared" si="21"/>
        <v>273.59999999999997</v>
      </c>
      <c r="T57" s="257">
        <f t="shared" si="21"/>
        <v>273.59999999999997</v>
      </c>
      <c r="U57" s="257">
        <f t="shared" si="21"/>
        <v>273.59999999999997</v>
      </c>
      <c r="V57" s="257">
        <f t="shared" si="21"/>
        <v>273.59999999999997</v>
      </c>
      <c r="W57" s="257">
        <f t="shared" si="21"/>
        <v>273.59999999999997</v>
      </c>
      <c r="X57" s="257">
        <f t="shared" si="21"/>
        <v>273.59999999999997</v>
      </c>
      <c r="Y57" s="257">
        <f t="shared" si="21"/>
        <v>273.59999999999997</v>
      </c>
      <c r="Z57" s="257">
        <f t="shared" si="21"/>
        <v>273.59999999999997</v>
      </c>
      <c r="AA57" s="257">
        <f t="shared" si="21"/>
        <v>273.59999999999997</v>
      </c>
      <c r="AB57" s="257">
        <f t="shared" si="21"/>
        <v>273.59999999999997</v>
      </c>
      <c r="AC57" s="257">
        <f t="shared" si="21"/>
        <v>273.59999999999997</v>
      </c>
      <c r="AD57" s="257">
        <f t="shared" si="21"/>
        <v>273.59999999999997</v>
      </c>
      <c r="AE57" s="257">
        <f t="shared" si="21"/>
        <v>273.59999999999997</v>
      </c>
      <c r="AF57" s="257">
        <f t="shared" si="21"/>
        <v>273.59999999999997</v>
      </c>
      <c r="AG57" s="257">
        <f t="shared" si="21"/>
        <v>273.59999999999997</v>
      </c>
      <c r="AH57" s="257">
        <f t="shared" si="21"/>
        <v>273.59999999999997</v>
      </c>
      <c r="AI57" s="257">
        <f t="shared" si="21"/>
        <v>273.59999999999997</v>
      </c>
      <c r="AJ57" s="257">
        <f t="shared" si="21"/>
        <v>273.59999999999997</v>
      </c>
      <c r="AK57" s="257">
        <f t="shared" si="21"/>
        <v>273.59999999999997</v>
      </c>
      <c r="AL57" s="257">
        <f t="shared" si="21"/>
        <v>273.59999999999997</v>
      </c>
      <c r="AM57" s="257">
        <f t="shared" si="21"/>
        <v>273.59999999999997</v>
      </c>
      <c r="AN57" s="257">
        <f t="shared" si="21"/>
        <v>273.59999999999997</v>
      </c>
      <c r="AO57" s="257">
        <f t="shared" si="21"/>
        <v>273.59999999999997</v>
      </c>
      <c r="AP57" s="257">
        <f t="shared" si="21"/>
        <v>273.59999999999997</v>
      </c>
      <c r="AQ57" s="257">
        <f t="shared" si="21"/>
        <v>273.59999999999997</v>
      </c>
      <c r="AR57" s="257">
        <f t="shared" si="21"/>
        <v>273.59999999999997</v>
      </c>
      <c r="AS57" s="257">
        <f t="shared" si="21"/>
        <v>273.59999999999997</v>
      </c>
      <c r="AT57" s="257">
        <f t="shared" si="21"/>
        <v>273.59999999999997</v>
      </c>
      <c r="AU57" s="257">
        <f t="shared" si="21"/>
        <v>273.59999999999997</v>
      </c>
      <c r="AV57" s="257">
        <f t="shared" si="21"/>
        <v>273.59999999999997</v>
      </c>
      <c r="AW57" s="257">
        <f t="shared" si="21"/>
        <v>273.59999999999997</v>
      </c>
      <c r="AX57" s="257">
        <f t="shared" si="21"/>
        <v>273.59999999999997</v>
      </c>
      <c r="AY57" s="257">
        <f t="shared" si="21"/>
        <v>273.59999999999997</v>
      </c>
      <c r="AZ57" s="257">
        <f t="shared" si="21"/>
        <v>273.59999999999997</v>
      </c>
      <c r="BA57" s="257">
        <f t="shared" si="21"/>
        <v>273.59999999999997</v>
      </c>
      <c r="BB57" s="257">
        <f t="shared" si="21"/>
        <v>273.59999999999997</v>
      </c>
      <c r="BC57" s="257">
        <f t="shared" si="21"/>
        <v>273.59999999999997</v>
      </c>
      <c r="BD57" s="257">
        <f t="shared" si="21"/>
        <v>273.59999999999997</v>
      </c>
      <c r="BE57" s="257">
        <f t="shared" si="21"/>
        <v>273.59999999999997</v>
      </c>
      <c r="BF57" s="257">
        <f t="shared" si="21"/>
        <v>273.59999999999997</v>
      </c>
      <c r="BG57" s="257">
        <f t="shared" si="21"/>
        <v>273.59999999999997</v>
      </c>
      <c r="BH57" s="257">
        <f t="shared" si="21"/>
        <v>273.59999999999997</v>
      </c>
      <c r="BI57" s="257">
        <f t="shared" si="21"/>
        <v>273.59999999999997</v>
      </c>
      <c r="BJ57" s="257">
        <f t="shared" si="21"/>
        <v>273.59999999999997</v>
      </c>
      <c r="BK57" s="257">
        <f t="shared" si="21"/>
        <v>273.59999999999997</v>
      </c>
      <c r="BL57" s="257">
        <f t="shared" si="21"/>
        <v>273.59999999999997</v>
      </c>
      <c r="BM57" s="257">
        <f t="shared" si="21"/>
        <v>273.59999999999997</v>
      </c>
      <c r="BN57" s="257">
        <f t="shared" si="21"/>
        <v>273.59999999999997</v>
      </c>
      <c r="BO57" s="257">
        <f t="shared" si="21"/>
        <v>273.59999999999997</v>
      </c>
      <c r="BP57" s="257">
        <f t="shared" si="21"/>
        <v>273.59999999999997</v>
      </c>
      <c r="BQ57" s="257">
        <f t="shared" si="21"/>
        <v>273.59999999999997</v>
      </c>
      <c r="BR57" s="257">
        <f t="shared" si="21"/>
        <v>273.59999999999997</v>
      </c>
      <c r="BS57" s="257">
        <f t="shared" si="21"/>
        <v>273.59999999999997</v>
      </c>
      <c r="BT57" s="257">
        <f t="shared" si="21"/>
        <v>273.59999999999997</v>
      </c>
      <c r="BU57" s="257">
        <f t="shared" si="21"/>
        <v>273.59999999999997</v>
      </c>
      <c r="BV57" s="257">
        <f t="shared" si="21"/>
        <v>273.59999999999997</v>
      </c>
      <c r="BW57" s="257">
        <f t="shared" si="21"/>
        <v>273.59999999999997</v>
      </c>
      <c r="BX57" s="257">
        <f t="shared" si="21"/>
        <v>273.59999999999997</v>
      </c>
      <c r="BY57" s="257">
        <f aca="true" t="shared" si="22" ref="BY57:DF57">$F$57</f>
        <v>273.59999999999997</v>
      </c>
      <c r="BZ57" s="257">
        <f t="shared" si="22"/>
        <v>273.59999999999997</v>
      </c>
      <c r="CA57" s="257">
        <f t="shared" si="22"/>
        <v>273.59999999999997</v>
      </c>
      <c r="CB57" s="257">
        <f t="shared" si="22"/>
        <v>273.59999999999997</v>
      </c>
      <c r="CC57" s="257">
        <f t="shared" si="22"/>
        <v>273.59999999999997</v>
      </c>
      <c r="CD57" s="257">
        <f t="shared" si="22"/>
        <v>273.59999999999997</v>
      </c>
      <c r="CE57" s="257">
        <f t="shared" si="22"/>
        <v>273.59999999999997</v>
      </c>
      <c r="CF57" s="257">
        <f t="shared" si="22"/>
        <v>273.59999999999997</v>
      </c>
      <c r="CG57" s="257">
        <f t="shared" si="22"/>
        <v>273.59999999999997</v>
      </c>
      <c r="CH57" s="257">
        <f t="shared" si="22"/>
        <v>273.59999999999997</v>
      </c>
      <c r="CI57" s="257">
        <f t="shared" si="22"/>
        <v>273.59999999999997</v>
      </c>
      <c r="CJ57" s="257">
        <f t="shared" si="22"/>
        <v>273.59999999999997</v>
      </c>
      <c r="CK57" s="257">
        <f t="shared" si="22"/>
        <v>273.59999999999997</v>
      </c>
      <c r="CL57" s="257">
        <f t="shared" si="22"/>
        <v>273.59999999999997</v>
      </c>
      <c r="CM57" s="257">
        <f t="shared" si="22"/>
        <v>273.59999999999997</v>
      </c>
      <c r="CN57" s="257">
        <f t="shared" si="22"/>
        <v>273.59999999999997</v>
      </c>
      <c r="CO57" s="257">
        <f t="shared" si="22"/>
        <v>273.59999999999997</v>
      </c>
      <c r="CP57" s="257">
        <f t="shared" si="22"/>
        <v>273.59999999999997</v>
      </c>
      <c r="CQ57" s="257">
        <f t="shared" si="22"/>
        <v>273.59999999999997</v>
      </c>
      <c r="CR57" s="257">
        <f t="shared" si="22"/>
        <v>273.59999999999997</v>
      </c>
      <c r="CS57" s="257">
        <f t="shared" si="22"/>
        <v>273.59999999999997</v>
      </c>
      <c r="CT57" s="257">
        <f t="shared" si="22"/>
        <v>273.59999999999997</v>
      </c>
      <c r="CU57" s="257">
        <f t="shared" si="22"/>
        <v>273.59999999999997</v>
      </c>
      <c r="CV57" s="257">
        <f t="shared" si="22"/>
        <v>273.59999999999997</v>
      </c>
      <c r="CW57" s="257">
        <f t="shared" si="22"/>
        <v>273.59999999999997</v>
      </c>
      <c r="CX57" s="257">
        <f t="shared" si="22"/>
        <v>273.59999999999997</v>
      </c>
      <c r="CY57" s="257">
        <f t="shared" si="22"/>
        <v>273.59999999999997</v>
      </c>
      <c r="CZ57" s="257">
        <f t="shared" si="22"/>
        <v>273.59999999999997</v>
      </c>
      <c r="DA57" s="257">
        <f t="shared" si="22"/>
        <v>273.59999999999997</v>
      </c>
      <c r="DB57" s="257">
        <f t="shared" si="22"/>
        <v>273.59999999999997</v>
      </c>
      <c r="DC57" s="257">
        <f t="shared" si="22"/>
        <v>273.59999999999997</v>
      </c>
      <c r="DD57" s="257">
        <f t="shared" si="22"/>
        <v>273.59999999999997</v>
      </c>
      <c r="DE57" s="257">
        <f t="shared" si="22"/>
        <v>273.59999999999997</v>
      </c>
      <c r="DF57" s="257">
        <f t="shared" si="22"/>
        <v>273.59999999999997</v>
      </c>
    </row>
    <row r="58" spans="1:110" ht="18" customHeight="1">
      <c r="A58" s="300" t="s">
        <v>381</v>
      </c>
      <c r="B58" s="300"/>
      <c r="C58" s="301"/>
      <c r="D58" s="301"/>
      <c r="E58" s="301"/>
      <c r="F58" s="302">
        <f>SUM(F53:F57)</f>
        <v>273.59999999999997</v>
      </c>
      <c r="G58" s="303">
        <f>SUM(G53:G57)</f>
        <v>6839.999999999999</v>
      </c>
      <c r="H58" s="315"/>
      <c r="J58" s="134" t="s">
        <v>347</v>
      </c>
      <c r="K58" s="257">
        <f>F65</f>
        <v>1120</v>
      </c>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row>
    <row r="59" spans="1:110" ht="28.5" customHeight="1">
      <c r="A59" s="2"/>
      <c r="B59" s="2"/>
      <c r="C59" s="2"/>
      <c r="D59" s="2"/>
      <c r="E59" s="2"/>
      <c r="F59" s="3"/>
      <c r="G59" s="304"/>
      <c r="H59" s="317"/>
      <c r="J59" s="133" t="s">
        <v>382</v>
      </c>
      <c r="K59" s="134">
        <v>0</v>
      </c>
      <c r="L59" s="257">
        <f>SUM($F$68:$F$69)</f>
        <v>186</v>
      </c>
      <c r="M59" s="257">
        <f aca="true" t="shared" si="23" ref="M59:BY59">SUM($F$68:$F$69)</f>
        <v>186</v>
      </c>
      <c r="N59" s="257">
        <f t="shared" si="23"/>
        <v>186</v>
      </c>
      <c r="O59" s="257">
        <f t="shared" si="23"/>
        <v>186</v>
      </c>
      <c r="P59" s="257">
        <f>SUM($F$68:$F$71)</f>
        <v>266</v>
      </c>
      <c r="Q59" s="257">
        <f t="shared" si="23"/>
        <v>186</v>
      </c>
      <c r="R59" s="257">
        <f t="shared" si="23"/>
        <v>186</v>
      </c>
      <c r="S59" s="257">
        <f t="shared" si="23"/>
        <v>186</v>
      </c>
      <c r="T59" s="257">
        <f t="shared" si="23"/>
        <v>186</v>
      </c>
      <c r="U59" s="257">
        <f>SUM($F$68:$F$71)</f>
        <v>266</v>
      </c>
      <c r="V59" s="257">
        <f t="shared" si="23"/>
        <v>186</v>
      </c>
      <c r="W59" s="257">
        <f t="shared" si="23"/>
        <v>186</v>
      </c>
      <c r="X59" s="257">
        <f t="shared" si="23"/>
        <v>186</v>
      </c>
      <c r="Y59" s="257">
        <f t="shared" si="23"/>
        <v>186</v>
      </c>
      <c r="Z59" s="257">
        <f>SUM($F$68:$F$71)</f>
        <v>266</v>
      </c>
      <c r="AA59" s="257">
        <f t="shared" si="23"/>
        <v>186</v>
      </c>
      <c r="AB59" s="257">
        <f t="shared" si="23"/>
        <v>186</v>
      </c>
      <c r="AC59" s="257">
        <f t="shared" si="23"/>
        <v>186</v>
      </c>
      <c r="AD59" s="257">
        <f t="shared" si="23"/>
        <v>186</v>
      </c>
      <c r="AE59" s="257">
        <f>SUM($F$68:$F$71)</f>
        <v>266</v>
      </c>
      <c r="AF59" s="257">
        <f t="shared" si="23"/>
        <v>186</v>
      </c>
      <c r="AG59" s="257">
        <f t="shared" si="23"/>
        <v>186</v>
      </c>
      <c r="AH59" s="257">
        <f t="shared" si="23"/>
        <v>186</v>
      </c>
      <c r="AI59" s="257">
        <f t="shared" si="23"/>
        <v>186</v>
      </c>
      <c r="AJ59" s="257">
        <f>SUM($F$68:$F$71)</f>
        <v>266</v>
      </c>
      <c r="AK59" s="257">
        <f t="shared" si="23"/>
        <v>186</v>
      </c>
      <c r="AL59" s="257">
        <f t="shared" si="23"/>
        <v>186</v>
      </c>
      <c r="AM59" s="257">
        <f t="shared" si="23"/>
        <v>186</v>
      </c>
      <c r="AN59" s="257">
        <f t="shared" si="23"/>
        <v>186</v>
      </c>
      <c r="AO59" s="257">
        <f>SUM($F$68:$F$71)</f>
        <v>266</v>
      </c>
      <c r="AP59" s="257">
        <f t="shared" si="23"/>
        <v>186</v>
      </c>
      <c r="AQ59" s="257">
        <f t="shared" si="23"/>
        <v>186</v>
      </c>
      <c r="AR59" s="257">
        <f t="shared" si="23"/>
        <v>186</v>
      </c>
      <c r="AS59" s="257">
        <f t="shared" si="23"/>
        <v>186</v>
      </c>
      <c r="AT59" s="257">
        <f>SUM($F$68:$F$71)</f>
        <v>266</v>
      </c>
      <c r="AU59" s="257">
        <f t="shared" si="23"/>
        <v>186</v>
      </c>
      <c r="AV59" s="257">
        <f t="shared" si="23"/>
        <v>186</v>
      </c>
      <c r="AW59" s="257">
        <f t="shared" si="23"/>
        <v>186</v>
      </c>
      <c r="AX59" s="257">
        <f t="shared" si="23"/>
        <v>186</v>
      </c>
      <c r="AY59" s="257">
        <f>SUM($F$68:$F$71)</f>
        <v>266</v>
      </c>
      <c r="AZ59" s="257">
        <f t="shared" si="23"/>
        <v>186</v>
      </c>
      <c r="BA59" s="257">
        <f t="shared" si="23"/>
        <v>186</v>
      </c>
      <c r="BB59" s="257">
        <f t="shared" si="23"/>
        <v>186</v>
      </c>
      <c r="BC59" s="257">
        <f t="shared" si="23"/>
        <v>186</v>
      </c>
      <c r="BD59" s="257">
        <f>SUM($F$68:$F$71)</f>
        <v>266</v>
      </c>
      <c r="BE59" s="257">
        <f t="shared" si="23"/>
        <v>186</v>
      </c>
      <c r="BF59" s="257">
        <f t="shared" si="23"/>
        <v>186</v>
      </c>
      <c r="BG59" s="257">
        <f t="shared" si="23"/>
        <v>186</v>
      </c>
      <c r="BH59" s="257">
        <f t="shared" si="23"/>
        <v>186</v>
      </c>
      <c r="BI59" s="257">
        <f>SUM($F$68:$F$71)</f>
        <v>266</v>
      </c>
      <c r="BJ59" s="257">
        <f t="shared" si="23"/>
        <v>186</v>
      </c>
      <c r="BK59" s="257">
        <f t="shared" si="23"/>
        <v>186</v>
      </c>
      <c r="BL59" s="257">
        <f t="shared" si="23"/>
        <v>186</v>
      </c>
      <c r="BM59" s="257">
        <f t="shared" si="23"/>
        <v>186</v>
      </c>
      <c r="BN59" s="257">
        <f>SUM($F$68:$F$71)</f>
        <v>266</v>
      </c>
      <c r="BO59" s="257">
        <f t="shared" si="23"/>
        <v>186</v>
      </c>
      <c r="BP59" s="257">
        <f t="shared" si="23"/>
        <v>186</v>
      </c>
      <c r="BQ59" s="257">
        <f t="shared" si="23"/>
        <v>186</v>
      </c>
      <c r="BR59" s="257">
        <f t="shared" si="23"/>
        <v>186</v>
      </c>
      <c r="BS59" s="257">
        <f>SUM($F$68:$F$71)</f>
        <v>266</v>
      </c>
      <c r="BT59" s="257">
        <f t="shared" si="23"/>
        <v>186</v>
      </c>
      <c r="BU59" s="257">
        <f t="shared" si="23"/>
        <v>186</v>
      </c>
      <c r="BV59" s="257">
        <f t="shared" si="23"/>
        <v>186</v>
      </c>
      <c r="BW59" s="257">
        <f t="shared" si="23"/>
        <v>186</v>
      </c>
      <c r="BX59" s="257">
        <f>SUM($F$68:$F$71)</f>
        <v>266</v>
      </c>
      <c r="BY59" s="257">
        <f t="shared" si="23"/>
        <v>186</v>
      </c>
      <c r="BZ59" s="257">
        <f>SUM($F$68:$F$69)</f>
        <v>186</v>
      </c>
      <c r="CA59" s="257">
        <f>SUM($F$68:$F$69)</f>
        <v>186</v>
      </c>
      <c r="CB59" s="257">
        <f>SUM($F$68:$F$69)</f>
        <v>186</v>
      </c>
      <c r="CC59" s="257">
        <f>SUM($F$68:$F$71)</f>
        <v>266</v>
      </c>
      <c r="CD59" s="257">
        <f>SUM($F$68:$F$69)</f>
        <v>186</v>
      </c>
      <c r="CE59" s="257">
        <f>SUM($F$68:$F$69)</f>
        <v>186</v>
      </c>
      <c r="CF59" s="257">
        <f>SUM($F$68:$F$69)</f>
        <v>186</v>
      </c>
      <c r="CG59" s="257">
        <f>SUM($F$68:$F$69)</f>
        <v>186</v>
      </c>
      <c r="CH59" s="257">
        <f>SUM($F$68:$F$71)</f>
        <v>266</v>
      </c>
      <c r="CI59" s="257">
        <f>SUM($F$68:$F$69)</f>
        <v>186</v>
      </c>
      <c r="CJ59" s="257">
        <f>SUM($F$68:$F$69)</f>
        <v>186</v>
      </c>
      <c r="CK59" s="257">
        <f>SUM($F$68:$F$69)</f>
        <v>186</v>
      </c>
      <c r="CL59" s="257">
        <f>SUM($F$68:$F$69)</f>
        <v>186</v>
      </c>
      <c r="CM59" s="257">
        <f>SUM($F$68:$F$71)</f>
        <v>266</v>
      </c>
      <c r="CN59" s="257">
        <f>SUM($F$68:$F$69)</f>
        <v>186</v>
      </c>
      <c r="CO59" s="257">
        <f>SUM($F$68:$F$69)</f>
        <v>186</v>
      </c>
      <c r="CP59" s="257">
        <f>SUM($F$68:$F$69)</f>
        <v>186</v>
      </c>
      <c r="CQ59" s="257">
        <f>SUM($F$68:$F$69)</f>
        <v>186</v>
      </c>
      <c r="CR59" s="257">
        <f>SUM($F$68:$F$71)</f>
        <v>266</v>
      </c>
      <c r="CS59" s="257">
        <f>SUM($F$68:$F$69)</f>
        <v>186</v>
      </c>
      <c r="CT59" s="257">
        <f>SUM($F$68:$F$69)</f>
        <v>186</v>
      </c>
      <c r="CU59" s="257">
        <f>SUM($F$68:$F$69)</f>
        <v>186</v>
      </c>
      <c r="CV59" s="257">
        <f>SUM($F$68:$F$69)</f>
        <v>186</v>
      </c>
      <c r="CW59" s="257">
        <f>SUM($F$68:$F$71)</f>
        <v>266</v>
      </c>
      <c r="CX59" s="257">
        <f>SUM($F$68:$F$69)</f>
        <v>186</v>
      </c>
      <c r="CY59" s="257">
        <f>SUM($F$68:$F$69)</f>
        <v>186</v>
      </c>
      <c r="CZ59" s="257">
        <f>SUM($F$68:$F$69)</f>
        <v>186</v>
      </c>
      <c r="DA59" s="257">
        <f>SUM($F$68:$F$69)</f>
        <v>186</v>
      </c>
      <c r="DB59" s="257">
        <f>SUM($F$68:$F$71)</f>
        <v>266</v>
      </c>
      <c r="DC59" s="257">
        <f>SUM($F$68:$F$69)</f>
        <v>186</v>
      </c>
      <c r="DD59" s="257">
        <f>SUM($F$68:$F$69)</f>
        <v>186</v>
      </c>
      <c r="DE59" s="257">
        <f>SUM($F$68:$F$69)</f>
        <v>186</v>
      </c>
      <c r="DF59" s="257">
        <f>SUM($F$68:$F$69)</f>
        <v>186</v>
      </c>
    </row>
    <row r="60" spans="1:110" ht="24" customHeight="1">
      <c r="A60" s="654" t="s">
        <v>383</v>
      </c>
      <c r="B60" s="654"/>
      <c r="C60" s="655"/>
      <c r="D60" s="655"/>
      <c r="E60" s="655"/>
      <c r="F60" s="656"/>
      <c r="G60" s="656"/>
      <c r="H60" s="688"/>
      <c r="J60" s="296" t="s">
        <v>350</v>
      </c>
      <c r="K60" s="240">
        <f>SUM(K53:K57)-SUM(K58:K59)</f>
        <v>-846.4000000000001</v>
      </c>
      <c r="L60" s="240">
        <f aca="true" t="shared" si="24" ref="L60:BW60">SUM(L53:L57)-SUM(L58:L59)</f>
        <v>87.59999999999997</v>
      </c>
      <c r="M60" s="240">
        <f t="shared" si="24"/>
        <v>87.59999999999997</v>
      </c>
      <c r="N60" s="240">
        <f t="shared" si="24"/>
        <v>87.59999999999997</v>
      </c>
      <c r="O60" s="240">
        <f t="shared" si="24"/>
        <v>87.59999999999997</v>
      </c>
      <c r="P60" s="240">
        <f t="shared" si="24"/>
        <v>7.599999999999966</v>
      </c>
      <c r="Q60" s="240">
        <f t="shared" si="24"/>
        <v>87.59999999999997</v>
      </c>
      <c r="R60" s="240">
        <f t="shared" si="24"/>
        <v>87.59999999999997</v>
      </c>
      <c r="S60" s="240">
        <f t="shared" si="24"/>
        <v>87.59999999999997</v>
      </c>
      <c r="T60" s="240">
        <f t="shared" si="24"/>
        <v>87.59999999999997</v>
      </c>
      <c r="U60" s="240">
        <f t="shared" si="24"/>
        <v>7.599999999999966</v>
      </c>
      <c r="V60" s="240">
        <f t="shared" si="24"/>
        <v>87.59999999999997</v>
      </c>
      <c r="W60" s="240">
        <f t="shared" si="24"/>
        <v>87.59999999999997</v>
      </c>
      <c r="X60" s="240">
        <f t="shared" si="24"/>
        <v>87.59999999999997</v>
      </c>
      <c r="Y60" s="240">
        <f t="shared" si="24"/>
        <v>87.59999999999997</v>
      </c>
      <c r="Z60" s="240">
        <f t="shared" si="24"/>
        <v>7.599999999999966</v>
      </c>
      <c r="AA60" s="240">
        <f t="shared" si="24"/>
        <v>87.59999999999997</v>
      </c>
      <c r="AB60" s="240">
        <f t="shared" si="24"/>
        <v>87.59999999999997</v>
      </c>
      <c r="AC60" s="240">
        <f t="shared" si="24"/>
        <v>87.59999999999997</v>
      </c>
      <c r="AD60" s="240">
        <f t="shared" si="24"/>
        <v>87.59999999999997</v>
      </c>
      <c r="AE60" s="240">
        <f t="shared" si="24"/>
        <v>7.599999999999966</v>
      </c>
      <c r="AF60" s="240">
        <f t="shared" si="24"/>
        <v>87.59999999999997</v>
      </c>
      <c r="AG60" s="240">
        <f t="shared" si="24"/>
        <v>87.59999999999997</v>
      </c>
      <c r="AH60" s="240">
        <f t="shared" si="24"/>
        <v>87.59999999999997</v>
      </c>
      <c r="AI60" s="240">
        <f t="shared" si="24"/>
        <v>87.59999999999997</v>
      </c>
      <c r="AJ60" s="240">
        <f t="shared" si="24"/>
        <v>7.599999999999966</v>
      </c>
      <c r="AK60" s="240">
        <f t="shared" si="24"/>
        <v>87.59999999999997</v>
      </c>
      <c r="AL60" s="240">
        <f t="shared" si="24"/>
        <v>87.59999999999997</v>
      </c>
      <c r="AM60" s="240">
        <f t="shared" si="24"/>
        <v>87.59999999999997</v>
      </c>
      <c r="AN60" s="240">
        <f t="shared" si="24"/>
        <v>87.59999999999997</v>
      </c>
      <c r="AO60" s="240">
        <f t="shared" si="24"/>
        <v>7.599999999999966</v>
      </c>
      <c r="AP60" s="240">
        <f t="shared" si="24"/>
        <v>87.59999999999997</v>
      </c>
      <c r="AQ60" s="240">
        <f t="shared" si="24"/>
        <v>87.59999999999997</v>
      </c>
      <c r="AR60" s="240">
        <f t="shared" si="24"/>
        <v>87.59999999999997</v>
      </c>
      <c r="AS60" s="240">
        <f t="shared" si="24"/>
        <v>87.59999999999997</v>
      </c>
      <c r="AT60" s="240">
        <f t="shared" si="24"/>
        <v>7.599999999999966</v>
      </c>
      <c r="AU60" s="240">
        <f t="shared" si="24"/>
        <v>87.59999999999997</v>
      </c>
      <c r="AV60" s="240">
        <f t="shared" si="24"/>
        <v>87.59999999999997</v>
      </c>
      <c r="AW60" s="240">
        <f t="shared" si="24"/>
        <v>87.59999999999997</v>
      </c>
      <c r="AX60" s="240">
        <f t="shared" si="24"/>
        <v>87.59999999999997</v>
      </c>
      <c r="AY60" s="240">
        <f t="shared" si="24"/>
        <v>7.599999999999966</v>
      </c>
      <c r="AZ60" s="240">
        <f t="shared" si="24"/>
        <v>87.59999999999997</v>
      </c>
      <c r="BA60" s="240">
        <f t="shared" si="24"/>
        <v>87.59999999999997</v>
      </c>
      <c r="BB60" s="240">
        <f t="shared" si="24"/>
        <v>87.59999999999997</v>
      </c>
      <c r="BC60" s="240">
        <f t="shared" si="24"/>
        <v>87.59999999999997</v>
      </c>
      <c r="BD60" s="240">
        <f t="shared" si="24"/>
        <v>7.599999999999966</v>
      </c>
      <c r="BE60" s="240">
        <f t="shared" si="24"/>
        <v>87.59999999999997</v>
      </c>
      <c r="BF60" s="240">
        <f t="shared" si="24"/>
        <v>87.59999999999997</v>
      </c>
      <c r="BG60" s="240">
        <f t="shared" si="24"/>
        <v>87.59999999999997</v>
      </c>
      <c r="BH60" s="240">
        <f t="shared" si="24"/>
        <v>87.59999999999997</v>
      </c>
      <c r="BI60" s="240">
        <f t="shared" si="24"/>
        <v>7.599999999999966</v>
      </c>
      <c r="BJ60" s="240">
        <f t="shared" si="24"/>
        <v>87.59999999999997</v>
      </c>
      <c r="BK60" s="240">
        <f t="shared" si="24"/>
        <v>87.59999999999997</v>
      </c>
      <c r="BL60" s="240">
        <f t="shared" si="24"/>
        <v>87.59999999999997</v>
      </c>
      <c r="BM60" s="240">
        <f t="shared" si="24"/>
        <v>87.59999999999997</v>
      </c>
      <c r="BN60" s="240">
        <f t="shared" si="24"/>
        <v>7.599999999999966</v>
      </c>
      <c r="BO60" s="240">
        <f t="shared" si="24"/>
        <v>87.59999999999997</v>
      </c>
      <c r="BP60" s="240">
        <f t="shared" si="24"/>
        <v>87.59999999999997</v>
      </c>
      <c r="BQ60" s="240">
        <f t="shared" si="24"/>
        <v>87.59999999999997</v>
      </c>
      <c r="BR60" s="240">
        <f t="shared" si="24"/>
        <v>87.59999999999997</v>
      </c>
      <c r="BS60" s="240">
        <f t="shared" si="24"/>
        <v>7.599999999999966</v>
      </c>
      <c r="BT60" s="240">
        <f t="shared" si="24"/>
        <v>87.59999999999997</v>
      </c>
      <c r="BU60" s="240">
        <f t="shared" si="24"/>
        <v>87.59999999999997</v>
      </c>
      <c r="BV60" s="240">
        <f t="shared" si="24"/>
        <v>87.59999999999997</v>
      </c>
      <c r="BW60" s="240">
        <f t="shared" si="24"/>
        <v>87.59999999999997</v>
      </c>
      <c r="BX60" s="240">
        <f aca="true" t="shared" si="25" ref="BX60:DF60">SUM(BX53:BX57)-SUM(BX58:BX59)</f>
        <v>7.599999999999966</v>
      </c>
      <c r="BY60" s="240">
        <f t="shared" si="25"/>
        <v>87.59999999999997</v>
      </c>
      <c r="BZ60" s="240">
        <f t="shared" si="25"/>
        <v>87.59999999999997</v>
      </c>
      <c r="CA60" s="240">
        <f t="shared" si="25"/>
        <v>87.59999999999997</v>
      </c>
      <c r="CB60" s="240">
        <f t="shared" si="25"/>
        <v>87.59999999999997</v>
      </c>
      <c r="CC60" s="240">
        <f t="shared" si="25"/>
        <v>7.599999999999966</v>
      </c>
      <c r="CD60" s="240">
        <f t="shared" si="25"/>
        <v>87.59999999999997</v>
      </c>
      <c r="CE60" s="240">
        <f t="shared" si="25"/>
        <v>87.59999999999997</v>
      </c>
      <c r="CF60" s="240">
        <f t="shared" si="25"/>
        <v>87.59999999999997</v>
      </c>
      <c r="CG60" s="240">
        <f t="shared" si="25"/>
        <v>87.59999999999997</v>
      </c>
      <c r="CH60" s="240">
        <f t="shared" si="25"/>
        <v>7.599999999999966</v>
      </c>
      <c r="CI60" s="240">
        <f t="shared" si="25"/>
        <v>87.59999999999997</v>
      </c>
      <c r="CJ60" s="240">
        <f t="shared" si="25"/>
        <v>87.59999999999997</v>
      </c>
      <c r="CK60" s="240">
        <f t="shared" si="25"/>
        <v>87.59999999999997</v>
      </c>
      <c r="CL60" s="240">
        <f t="shared" si="25"/>
        <v>87.59999999999997</v>
      </c>
      <c r="CM60" s="240">
        <f t="shared" si="25"/>
        <v>7.599999999999966</v>
      </c>
      <c r="CN60" s="240">
        <f t="shared" si="25"/>
        <v>87.59999999999997</v>
      </c>
      <c r="CO60" s="240">
        <f t="shared" si="25"/>
        <v>87.59999999999997</v>
      </c>
      <c r="CP60" s="240">
        <f t="shared" si="25"/>
        <v>87.59999999999997</v>
      </c>
      <c r="CQ60" s="240">
        <f t="shared" si="25"/>
        <v>87.59999999999997</v>
      </c>
      <c r="CR60" s="240">
        <f t="shared" si="25"/>
        <v>7.599999999999966</v>
      </c>
      <c r="CS60" s="240">
        <f t="shared" si="25"/>
        <v>87.59999999999997</v>
      </c>
      <c r="CT60" s="240">
        <f t="shared" si="25"/>
        <v>87.59999999999997</v>
      </c>
      <c r="CU60" s="240">
        <f t="shared" si="25"/>
        <v>87.59999999999997</v>
      </c>
      <c r="CV60" s="240">
        <f t="shared" si="25"/>
        <v>87.59999999999997</v>
      </c>
      <c r="CW60" s="240">
        <f t="shared" si="25"/>
        <v>7.599999999999966</v>
      </c>
      <c r="CX60" s="240">
        <f t="shared" si="25"/>
        <v>87.59999999999997</v>
      </c>
      <c r="CY60" s="240">
        <f t="shared" si="25"/>
        <v>87.59999999999997</v>
      </c>
      <c r="CZ60" s="240">
        <f t="shared" si="25"/>
        <v>87.59999999999997</v>
      </c>
      <c r="DA60" s="240">
        <f t="shared" si="25"/>
        <v>87.59999999999997</v>
      </c>
      <c r="DB60" s="240">
        <f t="shared" si="25"/>
        <v>7.599999999999966</v>
      </c>
      <c r="DC60" s="240">
        <f t="shared" si="25"/>
        <v>87.59999999999997</v>
      </c>
      <c r="DD60" s="240">
        <f t="shared" si="25"/>
        <v>87.59999999999997</v>
      </c>
      <c r="DE60" s="240">
        <f t="shared" si="25"/>
        <v>87.59999999999997</v>
      </c>
      <c r="DF60" s="240">
        <f t="shared" si="25"/>
        <v>87.59999999999997</v>
      </c>
    </row>
    <row r="61" spans="1:110" ht="18" customHeight="1">
      <c r="A61" s="133" t="s">
        <v>370</v>
      </c>
      <c r="B61" s="133">
        <v>1</v>
      </c>
      <c r="C61" s="133" t="s">
        <v>17</v>
      </c>
      <c r="D61" s="297">
        <f>Prices!C36</f>
        <v>850</v>
      </c>
      <c r="E61" s="204">
        <v>1</v>
      </c>
      <c r="F61" s="203">
        <f>E61*D61</f>
        <v>850</v>
      </c>
      <c r="G61" s="298">
        <f>F61</f>
        <v>850</v>
      </c>
      <c r="H61" s="317" t="s">
        <v>371</v>
      </c>
      <c r="J61" t="s">
        <v>372</v>
      </c>
      <c r="K61" s="268"/>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row>
    <row r="62" spans="1:16" ht="18" customHeight="1">
      <c r="A62" s="133" t="s">
        <v>384</v>
      </c>
      <c r="B62" s="133">
        <v>1</v>
      </c>
      <c r="C62" s="133" t="s">
        <v>17</v>
      </c>
      <c r="D62" s="297">
        <f>Prices!C32</f>
        <v>30</v>
      </c>
      <c r="E62" s="204">
        <v>1</v>
      </c>
      <c r="F62" s="203">
        <f>E62*D62</f>
        <v>30</v>
      </c>
      <c r="G62" s="298">
        <f>F62</f>
        <v>30</v>
      </c>
      <c r="H62" s="317"/>
      <c r="J62" s="39"/>
      <c r="K62" s="268"/>
      <c r="M62" s="274" t="s">
        <v>374</v>
      </c>
      <c r="N62" s="275"/>
      <c r="O62" s="275"/>
      <c r="P62" s="299"/>
    </row>
    <row r="63" spans="1:14" ht="18" customHeight="1">
      <c r="A63" s="133" t="s">
        <v>180</v>
      </c>
      <c r="B63" s="133">
        <v>1</v>
      </c>
      <c r="C63" s="133" t="s">
        <v>17</v>
      </c>
      <c r="D63" s="297">
        <f>Prices!C29</f>
        <v>50</v>
      </c>
      <c r="E63" s="204">
        <v>1</v>
      </c>
      <c r="F63" s="203">
        <f>E63*D63</f>
        <v>50</v>
      </c>
      <c r="G63" s="298">
        <f>F63</f>
        <v>50</v>
      </c>
      <c r="H63" s="317"/>
      <c r="J63" s="56" t="s">
        <v>472</v>
      </c>
      <c r="K63" s="281">
        <f>NPV('Farm and Buffer Assumptions'!C29,K60:AD60)</f>
        <v>134.53137410390514</v>
      </c>
      <c r="M63" s="282">
        <f>K53</f>
        <v>0</v>
      </c>
      <c r="N63" s="283" t="s">
        <v>338</v>
      </c>
    </row>
    <row r="64" spans="1:14" ht="18" customHeight="1">
      <c r="A64" s="276" t="s">
        <v>385</v>
      </c>
      <c r="B64" s="133">
        <v>1</v>
      </c>
      <c r="C64" s="133" t="s">
        <v>17</v>
      </c>
      <c r="D64" s="744">
        <v>190</v>
      </c>
      <c r="E64" s="204">
        <v>1</v>
      </c>
      <c r="F64" s="203">
        <f>E64*D64</f>
        <v>190</v>
      </c>
      <c r="G64" s="298">
        <f>F64</f>
        <v>190</v>
      </c>
      <c r="H64" s="317" t="s">
        <v>386</v>
      </c>
      <c r="J64" s="56" t="s">
        <v>473</v>
      </c>
      <c r="K64" s="281">
        <f>NPV('Farm and Buffer Assumptions'!C29,K60:AN60)</f>
        <v>394.83907661869335</v>
      </c>
      <c r="M64" s="284">
        <f>NPV('Farm and Buffer Assumptions'!C29,K54:N54)</f>
        <v>0</v>
      </c>
      <c r="N64" s="54" t="s">
        <v>387</v>
      </c>
    </row>
    <row r="65" spans="1:25" ht="18" customHeight="1">
      <c r="A65" s="269" t="s">
        <v>352</v>
      </c>
      <c r="B65" s="270"/>
      <c r="C65" s="270"/>
      <c r="D65" s="305"/>
      <c r="E65" s="270"/>
      <c r="F65" s="305">
        <f>SUM(F61:F64)</f>
        <v>1120</v>
      </c>
      <c r="G65" s="306">
        <f>SUM(G61:G64)</f>
        <v>1120</v>
      </c>
      <c r="H65" s="763"/>
      <c r="J65" s="56" t="s">
        <v>474</v>
      </c>
      <c r="K65" s="281">
        <f>NPV('Farm and Buffer Assumptions'!C29,K60:AX60)</f>
        <v>570.6936333070494</v>
      </c>
      <c r="L65" s="2"/>
      <c r="M65" s="285">
        <f>NPV('Farm and Buffer Assumptions'!C29,K55:Y55)</f>
        <v>0</v>
      </c>
      <c r="N65" s="283" t="s">
        <v>342</v>
      </c>
      <c r="P65" s="2"/>
      <c r="Q65" s="2"/>
      <c r="R65" s="2"/>
      <c r="S65" s="2"/>
      <c r="T65" s="2"/>
      <c r="U65" s="2"/>
      <c r="V65" s="2"/>
      <c r="W65" s="2"/>
      <c r="X65" s="2"/>
      <c r="Y65" s="2"/>
    </row>
    <row r="66" spans="1:14" ht="15.75">
      <c r="A66" s="276"/>
      <c r="B66" s="277"/>
      <c r="C66" s="277"/>
      <c r="D66" s="277"/>
      <c r="E66" s="277"/>
      <c r="F66" s="307"/>
      <c r="G66" s="308"/>
      <c r="H66" s="317"/>
      <c r="J66" s="56" t="s">
        <v>475</v>
      </c>
      <c r="K66" s="281">
        <f>NPV('Farm and Buffer Assumptions'!C29,K60:BH60)</f>
        <v>689.4946707304481</v>
      </c>
      <c r="M66" s="284">
        <f>K56</f>
        <v>0</v>
      </c>
      <c r="N66" s="283" t="s">
        <v>344</v>
      </c>
    </row>
    <row r="67" spans="1:18" ht="22.5" customHeight="1">
      <c r="A67" s="654" t="s">
        <v>388</v>
      </c>
      <c r="B67" s="654"/>
      <c r="C67" s="655"/>
      <c r="D67" s="655"/>
      <c r="E67" s="655"/>
      <c r="F67" s="656"/>
      <c r="G67" s="656"/>
      <c r="H67" s="688"/>
      <c r="J67" s="56" t="s">
        <v>476</v>
      </c>
      <c r="K67" s="281">
        <f>NPV('Farm and Buffer Assumptions'!C29,K60:BR60)</f>
        <v>769.7523948330291</v>
      </c>
      <c r="M67" s="284">
        <f>NPV('Farm and Buffer Assumptions'!C29,K57:DF57)</f>
        <v>6704.56772562078</v>
      </c>
      <c r="N67" s="288" t="s">
        <v>389</v>
      </c>
      <c r="R67" s="29">
        <f>SUM(M63:M67)</f>
        <v>6704.56772562078</v>
      </c>
    </row>
    <row r="68" spans="1:18" ht="31.5" customHeight="1">
      <c r="A68" s="133" t="s">
        <v>385</v>
      </c>
      <c r="B68" s="133" t="s">
        <v>357</v>
      </c>
      <c r="C68" s="133" t="s">
        <v>17</v>
      </c>
      <c r="D68" s="664">
        <f>'Farm and Buffer Assumptions'!C33*Prices!C31</f>
        <v>16</v>
      </c>
      <c r="E68" s="204">
        <v>1</v>
      </c>
      <c r="F68" s="203">
        <f>D68*E68</f>
        <v>16</v>
      </c>
      <c r="G68" s="298">
        <f>F68/'Farm and Buffer Assumptions'!C29</f>
        <v>400</v>
      </c>
      <c r="H68" s="317" t="s">
        <v>390</v>
      </c>
      <c r="J68" s="56" t="s">
        <v>477</v>
      </c>
      <c r="K68" s="281">
        <f>NPV('Farm and Buffer Assumptions'!C29,K60:CB60)</f>
        <v>823.9716375082395</v>
      </c>
      <c r="M68" s="287">
        <f>K58</f>
        <v>1120</v>
      </c>
      <c r="N68" s="288" t="s">
        <v>360</v>
      </c>
      <c r="R68" s="29">
        <f>SUM(M68:M69)</f>
        <v>5845.582674307185</v>
      </c>
    </row>
    <row r="69" spans="1:14" ht="25.5">
      <c r="A69" s="133" t="s">
        <v>391</v>
      </c>
      <c r="B69" s="133" t="s">
        <v>357</v>
      </c>
      <c r="C69" s="133" t="s">
        <v>17</v>
      </c>
      <c r="D69" s="297">
        <f>Prices!C43</f>
        <v>170</v>
      </c>
      <c r="E69" s="204">
        <v>1</v>
      </c>
      <c r="F69" s="203">
        <f>E69*D69</f>
        <v>170</v>
      </c>
      <c r="G69" s="298">
        <f>(F69/'Farm and Buffer Assumptions'!C29)</f>
        <v>4250</v>
      </c>
      <c r="H69" s="317" t="s">
        <v>392</v>
      </c>
      <c r="J69" s="56" t="s">
        <v>478</v>
      </c>
      <c r="K69" s="281">
        <f>NPV('Farm and Buffer Assumptions'!C29,K60:CL60)</f>
        <v>860.6002151204823</v>
      </c>
      <c r="M69" s="284">
        <f>NPV('Farm and Buffer Assumptions'!C29,K59:DF59)</f>
        <v>4725.582674307185</v>
      </c>
      <c r="N69" t="s">
        <v>393</v>
      </c>
    </row>
    <row r="70" spans="1:14" ht="27.75" customHeight="1">
      <c r="A70" s="133" t="s">
        <v>384</v>
      </c>
      <c r="B70" s="696">
        <f>'Farm and Buffer Assumptions'!C32</f>
        <v>4</v>
      </c>
      <c r="C70" s="133" t="s">
        <v>17</v>
      </c>
      <c r="D70" s="297">
        <f>D62</f>
        <v>30</v>
      </c>
      <c r="E70" s="204">
        <v>1</v>
      </c>
      <c r="F70" s="203">
        <f>E70*D70</f>
        <v>30</v>
      </c>
      <c r="G70" s="267">
        <f>F70/(((1+'Farm and Buffer Assumptions'!$C$29)^B70)-1)</f>
        <v>176.61753402360154</v>
      </c>
      <c r="H70" s="317" t="s">
        <v>394</v>
      </c>
      <c r="J70" s="56" t="s">
        <v>479</v>
      </c>
      <c r="K70" s="281">
        <f>NPV('Farm and Buffer Assumptions'!C29,K60:CV60)</f>
        <v>885.3451697103685</v>
      </c>
      <c r="M70" s="292">
        <f>SUM(M63:M67)-SUM(M68:M69)</f>
        <v>858.9850513135952</v>
      </c>
      <c r="N70" t="s">
        <v>364</v>
      </c>
    </row>
    <row r="71" spans="1:11" ht="30" customHeight="1">
      <c r="A71" s="133" t="s">
        <v>180</v>
      </c>
      <c r="B71" s="696">
        <f>'Farm and Buffer Assumptions'!C32</f>
        <v>4</v>
      </c>
      <c r="C71" s="133" t="s">
        <v>17</v>
      </c>
      <c r="D71" s="297">
        <f>D63</f>
        <v>50</v>
      </c>
      <c r="E71" s="204">
        <v>1</v>
      </c>
      <c r="F71" s="203">
        <f>E71*D71</f>
        <v>50</v>
      </c>
      <c r="G71" s="267">
        <f>F71/(((1+'Farm and Buffer Assumptions'!$C$29)^B71)-1)</f>
        <v>294.3625567060026</v>
      </c>
      <c r="H71" s="317" t="s">
        <v>395</v>
      </c>
      <c r="J71" s="56" t="s">
        <v>480</v>
      </c>
      <c r="K71" s="281">
        <f>NPV('Farm and Buffer Assumptions'!C29,K60:DF60)</f>
        <v>902.061974390517</v>
      </c>
    </row>
    <row r="72" spans="1:8" ht="18" customHeight="1">
      <c r="A72" s="269" t="s">
        <v>359</v>
      </c>
      <c r="B72" s="277"/>
      <c r="C72" s="277"/>
      <c r="D72" s="277"/>
      <c r="E72" s="277"/>
      <c r="F72" s="305">
        <f>SUM(F68:F71)</f>
        <v>266</v>
      </c>
      <c r="G72" s="306">
        <f>SUM(G68:G71)</f>
        <v>5120.980090729604</v>
      </c>
      <c r="H72" s="317"/>
    </row>
    <row r="73" spans="1:11" ht="18" customHeight="1">
      <c r="A73" s="133" t="s">
        <v>616</v>
      </c>
      <c r="B73" s="133"/>
      <c r="C73" s="133"/>
      <c r="D73" s="297"/>
      <c r="E73" s="204"/>
      <c r="F73" s="204">
        <f>'Budget w.o. Buffer'!F52</f>
        <v>106.34159798678019</v>
      </c>
      <c r="G73" s="298">
        <f>F73/'Farm and Buffer Assumptions'!$C$29</f>
        <v>2658.5399496695045</v>
      </c>
      <c r="H73" s="317"/>
      <c r="J73" t="s">
        <v>366</v>
      </c>
      <c r="K73" s="294">
        <f>K71-G76</f>
        <v>2961.5820147896256</v>
      </c>
    </row>
    <row r="74" spans="1:8" ht="18" customHeight="1">
      <c r="A74" s="300" t="s">
        <v>361</v>
      </c>
      <c r="B74" s="300"/>
      <c r="C74" s="300"/>
      <c r="D74" s="309"/>
      <c r="E74" s="310"/>
      <c r="F74" s="310"/>
      <c r="G74" s="311">
        <f>G65+G72+G73</f>
        <v>8899.520040399108</v>
      </c>
      <c r="H74" s="331"/>
    </row>
    <row r="75" spans="1:8" ht="18" customHeight="1">
      <c r="A75" s="133"/>
      <c r="B75" s="133"/>
      <c r="C75" s="133"/>
      <c r="D75" s="133"/>
      <c r="E75" s="133"/>
      <c r="F75" s="203"/>
      <c r="G75" s="295"/>
      <c r="H75" s="317"/>
    </row>
    <row r="76" spans="1:8" ht="18" customHeight="1">
      <c r="A76" s="719" t="s">
        <v>363</v>
      </c>
      <c r="B76" s="745"/>
      <c r="C76" s="745"/>
      <c r="D76" s="745"/>
      <c r="E76" s="745"/>
      <c r="F76" s="746"/>
      <c r="G76" s="746">
        <f>G58-G74</f>
        <v>-2059.5200403991084</v>
      </c>
      <c r="H76" s="722"/>
    </row>
    <row r="77" spans="1:8" ht="61.5" customHeight="1">
      <c r="A77" s="817" t="s">
        <v>485</v>
      </c>
      <c r="B77" s="820"/>
      <c r="C77" s="820"/>
      <c r="D77" s="820"/>
      <c r="E77" s="820"/>
      <c r="F77" s="814"/>
      <c r="G77" s="814"/>
      <c r="H77" s="814"/>
    </row>
    <row r="78" spans="1:8" ht="18" customHeight="1">
      <c r="A78" s="819" t="s">
        <v>396</v>
      </c>
      <c r="B78" s="814"/>
      <c r="C78" s="814"/>
      <c r="D78" s="814"/>
      <c r="E78" s="814"/>
      <c r="F78" s="293"/>
      <c r="G78" s="293"/>
      <c r="H78" s="293"/>
    </row>
    <row r="79" spans="1:8" ht="30" customHeight="1">
      <c r="A79" s="814" t="s">
        <v>367</v>
      </c>
      <c r="B79" s="814"/>
      <c r="C79" s="814"/>
      <c r="D79" s="814"/>
      <c r="E79" s="814"/>
      <c r="F79" s="814"/>
      <c r="G79" s="814"/>
      <c r="H79" s="814"/>
    </row>
    <row r="80" spans="1:8" ht="27.75" customHeight="1">
      <c r="A80" s="814" t="s">
        <v>397</v>
      </c>
      <c r="B80" s="814"/>
      <c r="C80" s="814"/>
      <c r="D80" s="814"/>
      <c r="E80" s="814"/>
      <c r="F80" s="293"/>
      <c r="G80" s="293"/>
      <c r="H80" s="293"/>
    </row>
    <row r="81" spans="1:8" ht="48" customHeight="1" thickBot="1">
      <c r="A81" s="793" t="s">
        <v>483</v>
      </c>
      <c r="B81" s="793"/>
      <c r="C81" s="793"/>
      <c r="D81" s="793"/>
      <c r="E81" s="793"/>
      <c r="F81" s="793"/>
      <c r="G81" s="793"/>
      <c r="H81" s="793"/>
    </row>
    <row r="82" spans="1:11" ht="41.25" customHeight="1" thickBot="1">
      <c r="A82" s="675" t="s">
        <v>398</v>
      </c>
      <c r="B82" s="676" t="s">
        <v>333</v>
      </c>
      <c r="C82" s="652" t="s">
        <v>2</v>
      </c>
      <c r="D82" s="653" t="s">
        <v>3</v>
      </c>
      <c r="E82" s="677" t="s">
        <v>4</v>
      </c>
      <c r="F82" s="653" t="s">
        <v>5</v>
      </c>
      <c r="G82" s="677" t="s">
        <v>334</v>
      </c>
      <c r="H82" s="652" t="s">
        <v>335</v>
      </c>
      <c r="K82" t="s">
        <v>331</v>
      </c>
    </row>
    <row r="83" spans="1:110" ht="18" customHeight="1" thickBot="1">
      <c r="A83" s="679" t="s">
        <v>399</v>
      </c>
      <c r="B83" s="680"/>
      <c r="C83" s="658"/>
      <c r="D83" s="659"/>
      <c r="E83" s="681"/>
      <c r="F83" s="659"/>
      <c r="G83" s="681"/>
      <c r="H83" s="682"/>
      <c r="J83" s="256" t="s">
        <v>336</v>
      </c>
      <c r="K83" s="134">
        <v>1</v>
      </c>
      <c r="L83" s="134">
        <v>2</v>
      </c>
      <c r="M83" s="134">
        <v>3</v>
      </c>
      <c r="N83" s="134">
        <v>4</v>
      </c>
      <c r="O83" s="134">
        <v>5</v>
      </c>
      <c r="P83" s="134">
        <v>6</v>
      </c>
      <c r="Q83" s="134">
        <v>7</v>
      </c>
      <c r="R83" s="134">
        <v>8</v>
      </c>
      <c r="S83" s="134">
        <v>9</v>
      </c>
      <c r="T83" s="134">
        <v>10</v>
      </c>
      <c r="U83" s="134">
        <v>11</v>
      </c>
      <c r="V83" s="134">
        <v>12</v>
      </c>
      <c r="W83" s="134">
        <v>13</v>
      </c>
      <c r="X83" s="134">
        <v>14</v>
      </c>
      <c r="Y83" s="134">
        <v>15</v>
      </c>
      <c r="Z83" s="132">
        <v>16</v>
      </c>
      <c r="AA83" s="132">
        <v>17</v>
      </c>
      <c r="AB83" s="132">
        <v>18</v>
      </c>
      <c r="AC83" s="132">
        <v>19</v>
      </c>
      <c r="AD83" s="132">
        <v>20</v>
      </c>
      <c r="AE83" s="132">
        <v>21</v>
      </c>
      <c r="AF83" s="132">
        <v>22</v>
      </c>
      <c r="AG83" s="132">
        <v>23</v>
      </c>
      <c r="AH83" s="132">
        <v>24</v>
      </c>
      <c r="AI83" s="132">
        <v>25</v>
      </c>
      <c r="AJ83" s="132">
        <v>26</v>
      </c>
      <c r="AK83" s="132">
        <v>27</v>
      </c>
      <c r="AL83" s="132">
        <v>28</v>
      </c>
      <c r="AM83" s="132">
        <v>29</v>
      </c>
      <c r="AN83" s="132">
        <v>30</v>
      </c>
      <c r="AO83" s="132">
        <v>31</v>
      </c>
      <c r="AP83" s="132">
        <v>32</v>
      </c>
      <c r="AQ83" s="132">
        <v>33</v>
      </c>
      <c r="AR83" s="132">
        <v>34</v>
      </c>
      <c r="AS83" s="132">
        <v>35</v>
      </c>
      <c r="AT83" s="132">
        <v>36</v>
      </c>
      <c r="AU83" s="132">
        <v>37</v>
      </c>
      <c r="AV83" s="132">
        <v>38</v>
      </c>
      <c r="AW83" s="132">
        <v>39</v>
      </c>
      <c r="AX83" s="132">
        <v>40</v>
      </c>
      <c r="AY83" s="132">
        <v>41</v>
      </c>
      <c r="AZ83" s="132">
        <v>42</v>
      </c>
      <c r="BA83" s="132">
        <v>43</v>
      </c>
      <c r="BB83" s="132">
        <v>44</v>
      </c>
      <c r="BC83" s="132">
        <v>45</v>
      </c>
      <c r="BD83" s="132">
        <v>46</v>
      </c>
      <c r="BE83" s="132">
        <v>47</v>
      </c>
      <c r="BF83" s="132">
        <v>48</v>
      </c>
      <c r="BG83" s="132">
        <v>49</v>
      </c>
      <c r="BH83" s="132">
        <v>50</v>
      </c>
      <c r="BI83" s="132">
        <v>51</v>
      </c>
      <c r="BJ83" s="132">
        <v>52</v>
      </c>
      <c r="BK83" s="132">
        <v>53</v>
      </c>
      <c r="BL83" s="132">
        <v>54</v>
      </c>
      <c r="BM83" s="132">
        <v>55</v>
      </c>
      <c r="BN83" s="132">
        <v>56</v>
      </c>
      <c r="BO83" s="132">
        <v>57</v>
      </c>
      <c r="BP83" s="132">
        <v>58</v>
      </c>
      <c r="BQ83" s="132">
        <v>59</v>
      </c>
      <c r="BR83" s="132">
        <v>60</v>
      </c>
      <c r="BS83" s="132">
        <v>61</v>
      </c>
      <c r="BT83" s="132">
        <v>62</v>
      </c>
      <c r="BU83" s="132">
        <v>63</v>
      </c>
      <c r="BV83" s="132">
        <v>64</v>
      </c>
      <c r="BW83" s="132">
        <v>65</v>
      </c>
      <c r="BX83" s="132">
        <v>66</v>
      </c>
      <c r="BY83" s="132">
        <v>67</v>
      </c>
      <c r="BZ83" s="132">
        <v>68</v>
      </c>
      <c r="CA83" s="132">
        <v>69</v>
      </c>
      <c r="CB83" s="132">
        <v>70</v>
      </c>
      <c r="CC83" s="132">
        <v>71</v>
      </c>
      <c r="CD83" s="132">
        <v>72</v>
      </c>
      <c r="CE83" s="132">
        <v>73</v>
      </c>
      <c r="CF83" s="132">
        <v>74</v>
      </c>
      <c r="CG83" s="132">
        <v>75</v>
      </c>
      <c r="CH83" s="132">
        <v>76</v>
      </c>
      <c r="CI83" s="132">
        <v>77</v>
      </c>
      <c r="CJ83" s="132">
        <v>78</v>
      </c>
      <c r="CK83" s="132">
        <v>79</v>
      </c>
      <c r="CL83" s="132">
        <v>80</v>
      </c>
      <c r="CM83" s="132">
        <v>81</v>
      </c>
      <c r="CN83" s="132">
        <v>82</v>
      </c>
      <c r="CO83" s="132">
        <v>83</v>
      </c>
      <c r="CP83" s="132">
        <v>84</v>
      </c>
      <c r="CQ83" s="132">
        <v>85</v>
      </c>
      <c r="CR83" s="132">
        <v>86</v>
      </c>
      <c r="CS83" s="132">
        <v>87</v>
      </c>
      <c r="CT83" s="132">
        <v>88</v>
      </c>
      <c r="CU83" s="132">
        <v>89</v>
      </c>
      <c r="CV83" s="132">
        <v>90</v>
      </c>
      <c r="CW83" s="132">
        <v>91</v>
      </c>
      <c r="CX83" s="132">
        <v>92</v>
      </c>
      <c r="CY83" s="132">
        <v>93</v>
      </c>
      <c r="CZ83" s="132">
        <v>94</v>
      </c>
      <c r="DA83" s="132">
        <v>95</v>
      </c>
      <c r="DB83" s="132">
        <v>96</v>
      </c>
      <c r="DC83" s="132">
        <v>97</v>
      </c>
      <c r="DD83" s="132">
        <v>98</v>
      </c>
      <c r="DE83" s="132">
        <v>99</v>
      </c>
      <c r="DF83" s="132">
        <v>100</v>
      </c>
    </row>
    <row r="84" spans="1:110" ht="18" customHeight="1" thickBot="1">
      <c r="A84" s="133" t="s">
        <v>338</v>
      </c>
      <c r="B84" s="134">
        <v>1</v>
      </c>
      <c r="C84" s="134" t="s">
        <v>17</v>
      </c>
      <c r="D84" s="257">
        <f>IF('Farm and Buffer Assumptions'!C69=1,F95*'Farm and Buffer Assumptions'!C47,0)</f>
        <v>2368</v>
      </c>
      <c r="E84" s="244">
        <v>1</v>
      </c>
      <c r="F84" s="257">
        <f>E84*D84</f>
        <v>2368</v>
      </c>
      <c r="G84" s="258">
        <f>F84</f>
        <v>2368</v>
      </c>
      <c r="H84" s="259"/>
      <c r="J84" s="134" t="s">
        <v>337</v>
      </c>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row>
    <row r="85" spans="1:110" ht="18" customHeight="1" thickBot="1">
      <c r="A85" s="133" t="s">
        <v>400</v>
      </c>
      <c r="B85" s="134">
        <f>'Farm and Buffer Assumptions'!C49</f>
        <v>5</v>
      </c>
      <c r="C85" s="134" t="s">
        <v>17</v>
      </c>
      <c r="D85" s="257">
        <f>IF('Farm and Buffer Assumptions'!C70=1,F98*'Farm and Buffer Assumptions'!C48,0)</f>
        <v>350</v>
      </c>
      <c r="E85" s="244">
        <v>1</v>
      </c>
      <c r="F85" s="257">
        <f>E85*D85</f>
        <v>350</v>
      </c>
      <c r="G85" s="258">
        <f>(PV('Farm and Buffer Assumptions'!C29,B85,-F85))</f>
        <v>1558.137815855674</v>
      </c>
      <c r="H85" s="259"/>
      <c r="J85" s="134" t="s">
        <v>339</v>
      </c>
      <c r="K85" s="257">
        <f>F84</f>
        <v>2368</v>
      </c>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row>
    <row r="86" spans="1:110" ht="18" customHeight="1" thickBot="1">
      <c r="A86" s="133" t="s">
        <v>401</v>
      </c>
      <c r="B86" s="134">
        <v>2</v>
      </c>
      <c r="C86" s="134" t="s">
        <v>17</v>
      </c>
      <c r="D86" s="257">
        <f>IF('Farm and Buffer Assumptions'!C70=1,F99*'Farm and Buffer Assumptions'!C48,0)</f>
        <v>66.5</v>
      </c>
      <c r="E86" s="244">
        <v>1</v>
      </c>
      <c r="F86" s="257">
        <f>E86*D86</f>
        <v>66.5</v>
      </c>
      <c r="G86" s="313">
        <f>F86/(1+'Farm and Buffer Assumptions'!C29)^B86</f>
        <v>61.48298816568047</v>
      </c>
      <c r="H86" s="259"/>
      <c r="J86" s="134" t="s">
        <v>402</v>
      </c>
      <c r="K86" s="134">
        <v>0</v>
      </c>
      <c r="L86" s="257">
        <f>IF(L83=($B$114+1),$F$114,IF(L83&lt;=$B$114,$F$114,0))</f>
        <v>350</v>
      </c>
      <c r="M86" s="257">
        <f aca="true" t="shared" si="26" ref="M86:BX86">IF(M83=($B$114+1),$F$114,IF(M83&lt;=$B$114,$F$114,0))</f>
        <v>350</v>
      </c>
      <c r="N86" s="257">
        <f t="shared" si="26"/>
        <v>350</v>
      </c>
      <c r="O86" s="257">
        <f t="shared" si="26"/>
        <v>350</v>
      </c>
      <c r="P86" s="257">
        <f t="shared" si="26"/>
        <v>350</v>
      </c>
      <c r="Q86" s="257">
        <f t="shared" si="26"/>
        <v>0</v>
      </c>
      <c r="R86" s="257">
        <f t="shared" si="26"/>
        <v>0</v>
      </c>
      <c r="S86" s="257">
        <f t="shared" si="26"/>
        <v>0</v>
      </c>
      <c r="T86" s="257">
        <f t="shared" si="26"/>
        <v>0</v>
      </c>
      <c r="U86" s="257">
        <f t="shared" si="26"/>
        <v>0</v>
      </c>
      <c r="V86" s="257">
        <f t="shared" si="26"/>
        <v>0</v>
      </c>
      <c r="W86" s="257">
        <f t="shared" si="26"/>
        <v>0</v>
      </c>
      <c r="X86" s="257">
        <f t="shared" si="26"/>
        <v>0</v>
      </c>
      <c r="Y86" s="257">
        <f t="shared" si="26"/>
        <v>0</v>
      </c>
      <c r="Z86" s="257">
        <f t="shared" si="26"/>
        <v>0</v>
      </c>
      <c r="AA86" s="257">
        <f t="shared" si="26"/>
        <v>0</v>
      </c>
      <c r="AB86" s="257">
        <f t="shared" si="26"/>
        <v>0</v>
      </c>
      <c r="AC86" s="257">
        <f t="shared" si="26"/>
        <v>0</v>
      </c>
      <c r="AD86" s="257">
        <f t="shared" si="26"/>
        <v>0</v>
      </c>
      <c r="AE86" s="257">
        <f t="shared" si="26"/>
        <v>0</v>
      </c>
      <c r="AF86" s="257">
        <f t="shared" si="26"/>
        <v>0</v>
      </c>
      <c r="AG86" s="257">
        <f t="shared" si="26"/>
        <v>0</v>
      </c>
      <c r="AH86" s="257">
        <f t="shared" si="26"/>
        <v>0</v>
      </c>
      <c r="AI86" s="257">
        <f t="shared" si="26"/>
        <v>0</v>
      </c>
      <c r="AJ86" s="257">
        <f t="shared" si="26"/>
        <v>0</v>
      </c>
      <c r="AK86" s="257">
        <f t="shared" si="26"/>
        <v>0</v>
      </c>
      <c r="AL86" s="257">
        <f t="shared" si="26"/>
        <v>0</v>
      </c>
      <c r="AM86" s="257">
        <f t="shared" si="26"/>
        <v>0</v>
      </c>
      <c r="AN86" s="257">
        <f t="shared" si="26"/>
        <v>0</v>
      </c>
      <c r="AO86" s="257">
        <f t="shared" si="26"/>
        <v>0</v>
      </c>
      <c r="AP86" s="257">
        <f t="shared" si="26"/>
        <v>0</v>
      </c>
      <c r="AQ86" s="257">
        <f t="shared" si="26"/>
        <v>0</v>
      </c>
      <c r="AR86" s="257">
        <f t="shared" si="26"/>
        <v>0</v>
      </c>
      <c r="AS86" s="257">
        <f t="shared" si="26"/>
        <v>0</v>
      </c>
      <c r="AT86" s="257">
        <f t="shared" si="26"/>
        <v>0</v>
      </c>
      <c r="AU86" s="257">
        <f t="shared" si="26"/>
        <v>0</v>
      </c>
      <c r="AV86" s="257">
        <f t="shared" si="26"/>
        <v>0</v>
      </c>
      <c r="AW86" s="257">
        <f t="shared" si="26"/>
        <v>0</v>
      </c>
      <c r="AX86" s="257">
        <f t="shared" si="26"/>
        <v>0</v>
      </c>
      <c r="AY86" s="257">
        <f t="shared" si="26"/>
        <v>0</v>
      </c>
      <c r="AZ86" s="257">
        <f t="shared" si="26"/>
        <v>0</v>
      </c>
      <c r="BA86" s="257">
        <f t="shared" si="26"/>
        <v>0</v>
      </c>
      <c r="BB86" s="257">
        <f t="shared" si="26"/>
        <v>0</v>
      </c>
      <c r="BC86" s="257">
        <f t="shared" si="26"/>
        <v>0</v>
      </c>
      <c r="BD86" s="257">
        <f t="shared" si="26"/>
        <v>0</v>
      </c>
      <c r="BE86" s="257">
        <f t="shared" si="26"/>
        <v>0</v>
      </c>
      <c r="BF86" s="257">
        <f t="shared" si="26"/>
        <v>0</v>
      </c>
      <c r="BG86" s="257">
        <f t="shared" si="26"/>
        <v>0</v>
      </c>
      <c r="BH86" s="257">
        <f t="shared" si="26"/>
        <v>0</v>
      </c>
      <c r="BI86" s="257">
        <f t="shared" si="26"/>
        <v>0</v>
      </c>
      <c r="BJ86" s="257">
        <f t="shared" si="26"/>
        <v>0</v>
      </c>
      <c r="BK86" s="257">
        <f t="shared" si="26"/>
        <v>0</v>
      </c>
      <c r="BL86" s="257">
        <f t="shared" si="26"/>
        <v>0</v>
      </c>
      <c r="BM86" s="257">
        <f t="shared" si="26"/>
        <v>0</v>
      </c>
      <c r="BN86" s="257">
        <f t="shared" si="26"/>
        <v>0</v>
      </c>
      <c r="BO86" s="257">
        <f t="shared" si="26"/>
        <v>0</v>
      </c>
      <c r="BP86" s="257">
        <f t="shared" si="26"/>
        <v>0</v>
      </c>
      <c r="BQ86" s="257">
        <f t="shared" si="26"/>
        <v>0</v>
      </c>
      <c r="BR86" s="257">
        <f t="shared" si="26"/>
        <v>0</v>
      </c>
      <c r="BS86" s="257">
        <f t="shared" si="26"/>
        <v>0</v>
      </c>
      <c r="BT86" s="257">
        <f t="shared" si="26"/>
        <v>0</v>
      </c>
      <c r="BU86" s="257">
        <f t="shared" si="26"/>
        <v>0</v>
      </c>
      <c r="BV86" s="257">
        <f t="shared" si="26"/>
        <v>0</v>
      </c>
      <c r="BW86" s="257">
        <f t="shared" si="26"/>
        <v>0</v>
      </c>
      <c r="BX86" s="257">
        <f t="shared" si="26"/>
        <v>0</v>
      </c>
      <c r="BY86" s="257">
        <f aca="true" t="shared" si="27" ref="BY86:DF86">IF(BY83=($B$114+1),$F$114,IF(BY83&lt;=$B$114,$F$114,0))</f>
        <v>0</v>
      </c>
      <c r="BZ86" s="257">
        <f t="shared" si="27"/>
        <v>0</v>
      </c>
      <c r="CA86" s="257">
        <f t="shared" si="27"/>
        <v>0</v>
      </c>
      <c r="CB86" s="257">
        <f t="shared" si="27"/>
        <v>0</v>
      </c>
      <c r="CC86" s="257">
        <f t="shared" si="27"/>
        <v>0</v>
      </c>
      <c r="CD86" s="257">
        <f t="shared" si="27"/>
        <v>0</v>
      </c>
      <c r="CE86" s="257">
        <f t="shared" si="27"/>
        <v>0</v>
      </c>
      <c r="CF86" s="257">
        <f t="shared" si="27"/>
        <v>0</v>
      </c>
      <c r="CG86" s="257">
        <f t="shared" si="27"/>
        <v>0</v>
      </c>
      <c r="CH86" s="257">
        <f t="shared" si="27"/>
        <v>0</v>
      </c>
      <c r="CI86" s="257">
        <f t="shared" si="27"/>
        <v>0</v>
      </c>
      <c r="CJ86" s="257">
        <f t="shared" si="27"/>
        <v>0</v>
      </c>
      <c r="CK86" s="257">
        <f t="shared" si="27"/>
        <v>0</v>
      </c>
      <c r="CL86" s="257">
        <f t="shared" si="27"/>
        <v>0</v>
      </c>
      <c r="CM86" s="257">
        <f t="shared" si="27"/>
        <v>0</v>
      </c>
      <c r="CN86" s="257">
        <f t="shared" si="27"/>
        <v>0</v>
      </c>
      <c r="CO86" s="257">
        <f t="shared" si="27"/>
        <v>0</v>
      </c>
      <c r="CP86" s="257">
        <f t="shared" si="27"/>
        <v>0</v>
      </c>
      <c r="CQ86" s="257">
        <f t="shared" si="27"/>
        <v>0</v>
      </c>
      <c r="CR86" s="257">
        <f t="shared" si="27"/>
        <v>0</v>
      </c>
      <c r="CS86" s="257">
        <f t="shared" si="27"/>
        <v>0</v>
      </c>
      <c r="CT86" s="257">
        <f t="shared" si="27"/>
        <v>0</v>
      </c>
      <c r="CU86" s="257">
        <f t="shared" si="27"/>
        <v>0</v>
      </c>
      <c r="CV86" s="257">
        <f t="shared" si="27"/>
        <v>0</v>
      </c>
      <c r="CW86" s="257">
        <f t="shared" si="27"/>
        <v>0</v>
      </c>
      <c r="CX86" s="257">
        <f t="shared" si="27"/>
        <v>0</v>
      </c>
      <c r="CY86" s="257">
        <f t="shared" si="27"/>
        <v>0</v>
      </c>
      <c r="CZ86" s="257">
        <f t="shared" si="27"/>
        <v>0</v>
      </c>
      <c r="DA86" s="257">
        <f t="shared" si="27"/>
        <v>0</v>
      </c>
      <c r="DB86" s="257">
        <f t="shared" si="27"/>
        <v>0</v>
      </c>
      <c r="DC86" s="257">
        <f t="shared" si="27"/>
        <v>0</v>
      </c>
      <c r="DD86" s="257">
        <f t="shared" si="27"/>
        <v>0</v>
      </c>
      <c r="DE86" s="257">
        <f t="shared" si="27"/>
        <v>0</v>
      </c>
      <c r="DF86" s="257">
        <f t="shared" si="27"/>
        <v>0</v>
      </c>
    </row>
    <row r="87" spans="1:110" ht="18" customHeight="1" thickBot="1">
      <c r="A87" s="134" t="s">
        <v>342</v>
      </c>
      <c r="B87" s="134">
        <f>'Farm and Buffer Assumptions'!C44</f>
        <v>15</v>
      </c>
      <c r="C87" s="134" t="s">
        <v>17</v>
      </c>
      <c r="D87" s="257">
        <f>IF('Farm and Buffer Assumptions'!C67=1,Prices!C24*'Farm and Buffer Assumptions'!C45,0)</f>
        <v>230</v>
      </c>
      <c r="E87" s="244">
        <v>1</v>
      </c>
      <c r="F87" s="257">
        <f>E87*D87</f>
        <v>230</v>
      </c>
      <c r="G87" s="258">
        <f>-PV('Farm and Buffer Assumptions'!C29,B87,F87)</f>
        <v>2557.2291093986696</v>
      </c>
      <c r="H87" s="259"/>
      <c r="J87" s="134" t="s">
        <v>403</v>
      </c>
      <c r="K87" s="134">
        <v>0</v>
      </c>
      <c r="L87" s="257">
        <f>F86</f>
        <v>66.5</v>
      </c>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row>
    <row r="88" spans="1:110" ht="18" customHeight="1" thickBot="1">
      <c r="A88" s="134" t="s">
        <v>344</v>
      </c>
      <c r="B88" s="134">
        <v>1</v>
      </c>
      <c r="C88" s="134" t="s">
        <v>17</v>
      </c>
      <c r="D88" s="257">
        <f>IF('Farm and Buffer Assumptions'!C68=1,'Farm and Buffer Assumptions'!C46,0)</f>
        <v>0</v>
      </c>
      <c r="E88" s="244">
        <v>1</v>
      </c>
      <c r="F88" s="257">
        <f>E88*D88</f>
        <v>0</v>
      </c>
      <c r="G88" s="258">
        <f>F88</f>
        <v>0</v>
      </c>
      <c r="H88" s="259"/>
      <c r="J88" s="134" t="s">
        <v>343</v>
      </c>
      <c r="K88" s="257">
        <f>IF(K83&lt;=$B$116,$F$116,0)</f>
        <v>230</v>
      </c>
      <c r="L88" s="257">
        <f aca="true" t="shared" si="28" ref="L88:BW88">IF(L83&lt;=$B$116,$F$116,0)</f>
        <v>230</v>
      </c>
      <c r="M88" s="257">
        <f t="shared" si="28"/>
        <v>230</v>
      </c>
      <c r="N88" s="257">
        <f t="shared" si="28"/>
        <v>230</v>
      </c>
      <c r="O88" s="257">
        <f t="shared" si="28"/>
        <v>230</v>
      </c>
      <c r="P88" s="257">
        <f t="shared" si="28"/>
        <v>230</v>
      </c>
      <c r="Q88" s="257">
        <f t="shared" si="28"/>
        <v>230</v>
      </c>
      <c r="R88" s="257">
        <f t="shared" si="28"/>
        <v>230</v>
      </c>
      <c r="S88" s="257">
        <f t="shared" si="28"/>
        <v>230</v>
      </c>
      <c r="T88" s="257">
        <f t="shared" si="28"/>
        <v>230</v>
      </c>
      <c r="U88" s="257">
        <f t="shared" si="28"/>
        <v>230</v>
      </c>
      <c r="V88" s="257">
        <f t="shared" si="28"/>
        <v>230</v>
      </c>
      <c r="W88" s="257">
        <f t="shared" si="28"/>
        <v>230</v>
      </c>
      <c r="X88" s="257">
        <f t="shared" si="28"/>
        <v>230</v>
      </c>
      <c r="Y88" s="257">
        <f t="shared" si="28"/>
        <v>230</v>
      </c>
      <c r="Z88" s="257">
        <f t="shared" si="28"/>
        <v>0</v>
      </c>
      <c r="AA88" s="257">
        <f t="shared" si="28"/>
        <v>0</v>
      </c>
      <c r="AB88" s="257">
        <f t="shared" si="28"/>
        <v>0</v>
      </c>
      <c r="AC88" s="257">
        <f t="shared" si="28"/>
        <v>0</v>
      </c>
      <c r="AD88" s="257">
        <f t="shared" si="28"/>
        <v>0</v>
      </c>
      <c r="AE88" s="257">
        <f t="shared" si="28"/>
        <v>0</v>
      </c>
      <c r="AF88" s="257">
        <f t="shared" si="28"/>
        <v>0</v>
      </c>
      <c r="AG88" s="257">
        <f t="shared" si="28"/>
        <v>0</v>
      </c>
      <c r="AH88" s="257">
        <f t="shared" si="28"/>
        <v>0</v>
      </c>
      <c r="AI88" s="257">
        <f t="shared" si="28"/>
        <v>0</v>
      </c>
      <c r="AJ88" s="257">
        <f t="shared" si="28"/>
        <v>0</v>
      </c>
      <c r="AK88" s="257">
        <f t="shared" si="28"/>
        <v>0</v>
      </c>
      <c r="AL88" s="257">
        <f t="shared" si="28"/>
        <v>0</v>
      </c>
      <c r="AM88" s="257">
        <f t="shared" si="28"/>
        <v>0</v>
      </c>
      <c r="AN88" s="257">
        <f t="shared" si="28"/>
        <v>0</v>
      </c>
      <c r="AO88" s="257">
        <f t="shared" si="28"/>
        <v>0</v>
      </c>
      <c r="AP88" s="257">
        <f t="shared" si="28"/>
        <v>0</v>
      </c>
      <c r="AQ88" s="257">
        <f t="shared" si="28"/>
        <v>0</v>
      </c>
      <c r="AR88" s="257">
        <f t="shared" si="28"/>
        <v>0</v>
      </c>
      <c r="AS88" s="257">
        <f t="shared" si="28"/>
        <v>0</v>
      </c>
      <c r="AT88" s="257">
        <f t="shared" si="28"/>
        <v>0</v>
      </c>
      <c r="AU88" s="257">
        <f t="shared" si="28"/>
        <v>0</v>
      </c>
      <c r="AV88" s="257">
        <f t="shared" si="28"/>
        <v>0</v>
      </c>
      <c r="AW88" s="257">
        <f t="shared" si="28"/>
        <v>0</v>
      </c>
      <c r="AX88" s="257">
        <f t="shared" si="28"/>
        <v>0</v>
      </c>
      <c r="AY88" s="257">
        <f t="shared" si="28"/>
        <v>0</v>
      </c>
      <c r="AZ88" s="257">
        <f t="shared" si="28"/>
        <v>0</v>
      </c>
      <c r="BA88" s="257">
        <f t="shared" si="28"/>
        <v>0</v>
      </c>
      <c r="BB88" s="257">
        <f t="shared" si="28"/>
        <v>0</v>
      </c>
      <c r="BC88" s="257">
        <f t="shared" si="28"/>
        <v>0</v>
      </c>
      <c r="BD88" s="257">
        <f t="shared" si="28"/>
        <v>0</v>
      </c>
      <c r="BE88" s="257">
        <f t="shared" si="28"/>
        <v>0</v>
      </c>
      <c r="BF88" s="257">
        <f t="shared" si="28"/>
        <v>0</v>
      </c>
      <c r="BG88" s="257">
        <f t="shared" si="28"/>
        <v>0</v>
      </c>
      <c r="BH88" s="257">
        <f t="shared" si="28"/>
        <v>0</v>
      </c>
      <c r="BI88" s="257">
        <f t="shared" si="28"/>
        <v>0</v>
      </c>
      <c r="BJ88" s="257">
        <f t="shared" si="28"/>
        <v>0</v>
      </c>
      <c r="BK88" s="257">
        <f t="shared" si="28"/>
        <v>0</v>
      </c>
      <c r="BL88" s="257">
        <f t="shared" si="28"/>
        <v>0</v>
      </c>
      <c r="BM88" s="257">
        <f t="shared" si="28"/>
        <v>0</v>
      </c>
      <c r="BN88" s="257">
        <f t="shared" si="28"/>
        <v>0</v>
      </c>
      <c r="BO88" s="257">
        <f t="shared" si="28"/>
        <v>0</v>
      </c>
      <c r="BP88" s="257">
        <f t="shared" si="28"/>
        <v>0</v>
      </c>
      <c r="BQ88" s="257">
        <f t="shared" si="28"/>
        <v>0</v>
      </c>
      <c r="BR88" s="257">
        <f t="shared" si="28"/>
        <v>0</v>
      </c>
      <c r="BS88" s="257">
        <f t="shared" si="28"/>
        <v>0</v>
      </c>
      <c r="BT88" s="257">
        <f t="shared" si="28"/>
        <v>0</v>
      </c>
      <c r="BU88" s="257">
        <f t="shared" si="28"/>
        <v>0</v>
      </c>
      <c r="BV88" s="257">
        <f t="shared" si="28"/>
        <v>0</v>
      </c>
      <c r="BW88" s="257">
        <f t="shared" si="28"/>
        <v>0</v>
      </c>
      <c r="BX88" s="257">
        <f aca="true" t="shared" si="29" ref="BX88:DF88">IF(BX83&lt;=$B$116,$F$116,0)</f>
        <v>0</v>
      </c>
      <c r="BY88" s="257">
        <f t="shared" si="29"/>
        <v>0</v>
      </c>
      <c r="BZ88" s="257">
        <f t="shared" si="29"/>
        <v>0</v>
      </c>
      <c r="CA88" s="257">
        <f t="shared" si="29"/>
        <v>0</v>
      </c>
      <c r="CB88" s="257">
        <f t="shared" si="29"/>
        <v>0</v>
      </c>
      <c r="CC88" s="257">
        <f t="shared" si="29"/>
        <v>0</v>
      </c>
      <c r="CD88" s="257">
        <f t="shared" si="29"/>
        <v>0</v>
      </c>
      <c r="CE88" s="257">
        <f t="shared" si="29"/>
        <v>0</v>
      </c>
      <c r="CF88" s="257">
        <f t="shared" si="29"/>
        <v>0</v>
      </c>
      <c r="CG88" s="257">
        <f t="shared" si="29"/>
        <v>0</v>
      </c>
      <c r="CH88" s="257">
        <f t="shared" si="29"/>
        <v>0</v>
      </c>
      <c r="CI88" s="257">
        <f t="shared" si="29"/>
        <v>0</v>
      </c>
      <c r="CJ88" s="257">
        <f t="shared" si="29"/>
        <v>0</v>
      </c>
      <c r="CK88" s="257">
        <f t="shared" si="29"/>
        <v>0</v>
      </c>
      <c r="CL88" s="257">
        <f t="shared" si="29"/>
        <v>0</v>
      </c>
      <c r="CM88" s="257">
        <f t="shared" si="29"/>
        <v>0</v>
      </c>
      <c r="CN88" s="257">
        <f t="shared" si="29"/>
        <v>0</v>
      </c>
      <c r="CO88" s="257">
        <f t="shared" si="29"/>
        <v>0</v>
      </c>
      <c r="CP88" s="257">
        <f t="shared" si="29"/>
        <v>0</v>
      </c>
      <c r="CQ88" s="257">
        <f t="shared" si="29"/>
        <v>0</v>
      </c>
      <c r="CR88" s="257">
        <f t="shared" si="29"/>
        <v>0</v>
      </c>
      <c r="CS88" s="257">
        <f t="shared" si="29"/>
        <v>0</v>
      </c>
      <c r="CT88" s="257">
        <f t="shared" si="29"/>
        <v>0</v>
      </c>
      <c r="CU88" s="257">
        <f t="shared" si="29"/>
        <v>0</v>
      </c>
      <c r="CV88" s="257">
        <f t="shared" si="29"/>
        <v>0</v>
      </c>
      <c r="CW88" s="257">
        <f t="shared" si="29"/>
        <v>0</v>
      </c>
      <c r="CX88" s="257">
        <f t="shared" si="29"/>
        <v>0</v>
      </c>
      <c r="CY88" s="257">
        <f t="shared" si="29"/>
        <v>0</v>
      </c>
      <c r="CZ88" s="257">
        <f t="shared" si="29"/>
        <v>0</v>
      </c>
      <c r="DA88" s="257">
        <f t="shared" si="29"/>
        <v>0</v>
      </c>
      <c r="DB88" s="257">
        <f t="shared" si="29"/>
        <v>0</v>
      </c>
      <c r="DC88" s="257">
        <f t="shared" si="29"/>
        <v>0</v>
      </c>
      <c r="DD88" s="257">
        <f t="shared" si="29"/>
        <v>0</v>
      </c>
      <c r="DE88" s="257">
        <f t="shared" si="29"/>
        <v>0</v>
      </c>
      <c r="DF88" s="257">
        <f t="shared" si="29"/>
        <v>0</v>
      </c>
    </row>
    <row r="89" spans="1:110" ht="18" customHeight="1">
      <c r="A89" s="260" t="s">
        <v>346</v>
      </c>
      <c r="B89" s="260"/>
      <c r="C89" s="137"/>
      <c r="D89" s="137"/>
      <c r="E89" s="314"/>
      <c r="F89" s="281">
        <f>SUM(F84:F88)</f>
        <v>3014.5</v>
      </c>
      <c r="G89" s="291">
        <f>SUM(G84:G88)</f>
        <v>6544.849913420025</v>
      </c>
      <c r="H89" s="315"/>
      <c r="J89" s="134" t="s">
        <v>345</v>
      </c>
      <c r="K89" s="257">
        <f>F88</f>
        <v>0</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row>
    <row r="90" spans="1:110" ht="18" customHeight="1">
      <c r="A90" s="316"/>
      <c r="B90" s="54"/>
      <c r="C90" s="54"/>
      <c r="D90" s="54"/>
      <c r="E90" s="318"/>
      <c r="F90" s="319"/>
      <c r="G90" s="320"/>
      <c r="H90" s="317"/>
      <c r="J90" s="134" t="s">
        <v>347</v>
      </c>
      <c r="K90" s="257">
        <f>F95</f>
        <v>2368</v>
      </c>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row>
    <row r="91" spans="1:110" ht="18" customHeight="1">
      <c r="A91" s="683" t="s">
        <v>349</v>
      </c>
      <c r="B91" s="683"/>
      <c r="C91" s="337"/>
      <c r="D91" s="337"/>
      <c r="E91" s="691"/>
      <c r="F91" s="692"/>
      <c r="G91" s="692"/>
      <c r="H91" s="688" t="s">
        <v>369</v>
      </c>
      <c r="J91" s="134" t="s">
        <v>404</v>
      </c>
      <c r="K91" s="257">
        <v>0</v>
      </c>
      <c r="L91" s="321">
        <f>F98</f>
        <v>350</v>
      </c>
      <c r="M91" s="321">
        <f>F98</f>
        <v>350</v>
      </c>
      <c r="N91" s="321">
        <f>F98</f>
        <v>350</v>
      </c>
      <c r="O91" s="321">
        <f>F98</f>
        <v>350</v>
      </c>
      <c r="P91" s="321">
        <f>F98</f>
        <v>350</v>
      </c>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row>
    <row r="92" spans="1:110" ht="51">
      <c r="A92" s="133" t="s">
        <v>405</v>
      </c>
      <c r="B92" s="133">
        <v>1</v>
      </c>
      <c r="C92" s="134" t="s">
        <v>17</v>
      </c>
      <c r="D92" s="266">
        <f>Prices!C36</f>
        <v>850</v>
      </c>
      <c r="E92" s="244">
        <v>1</v>
      </c>
      <c r="F92" s="321">
        <f>E92*D92</f>
        <v>850</v>
      </c>
      <c r="G92" s="313">
        <f>F92</f>
        <v>850</v>
      </c>
      <c r="H92" s="317" t="s">
        <v>406</v>
      </c>
      <c r="J92" s="134" t="s">
        <v>407</v>
      </c>
      <c r="K92" s="134">
        <v>0</v>
      </c>
      <c r="L92" s="257">
        <f>F99</f>
        <v>66.5</v>
      </c>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row>
    <row r="93" spans="1:110" ht="76.5">
      <c r="A93" s="134" t="s">
        <v>408</v>
      </c>
      <c r="B93" s="134">
        <v>1</v>
      </c>
      <c r="C93" s="134" t="s">
        <v>17</v>
      </c>
      <c r="D93" s="266">
        <f>Prices!C33</f>
        <v>950</v>
      </c>
      <c r="E93" s="244">
        <v>1</v>
      </c>
      <c r="F93" s="321">
        <f>E93*D93</f>
        <v>950</v>
      </c>
      <c r="G93" s="313">
        <f>F93</f>
        <v>950</v>
      </c>
      <c r="H93" s="317" t="s">
        <v>409</v>
      </c>
      <c r="J93" s="296" t="s">
        <v>350</v>
      </c>
      <c r="K93" s="240">
        <f aca="true" t="shared" si="30" ref="K93:BV93">SUM(K85:K89)-SUM(K90:K92)</f>
        <v>230</v>
      </c>
      <c r="L93" s="240">
        <f t="shared" si="30"/>
        <v>230</v>
      </c>
      <c r="M93" s="240">
        <f t="shared" si="30"/>
        <v>230</v>
      </c>
      <c r="N93" s="240">
        <f t="shared" si="30"/>
        <v>230</v>
      </c>
      <c r="O93" s="240">
        <f t="shared" si="30"/>
        <v>230</v>
      </c>
      <c r="P93" s="240">
        <f t="shared" si="30"/>
        <v>230</v>
      </c>
      <c r="Q93" s="240">
        <f t="shared" si="30"/>
        <v>230</v>
      </c>
      <c r="R93" s="240">
        <f t="shared" si="30"/>
        <v>230</v>
      </c>
      <c r="S93" s="240">
        <f t="shared" si="30"/>
        <v>230</v>
      </c>
      <c r="T93" s="240">
        <f t="shared" si="30"/>
        <v>230</v>
      </c>
      <c r="U93" s="240">
        <f t="shared" si="30"/>
        <v>230</v>
      </c>
      <c r="V93" s="240">
        <f t="shared" si="30"/>
        <v>230</v>
      </c>
      <c r="W93" s="240">
        <f t="shared" si="30"/>
        <v>230</v>
      </c>
      <c r="X93" s="240">
        <f t="shared" si="30"/>
        <v>230</v>
      </c>
      <c r="Y93" s="240">
        <f t="shared" si="30"/>
        <v>230</v>
      </c>
      <c r="Z93" s="240">
        <f t="shared" si="30"/>
        <v>0</v>
      </c>
      <c r="AA93" s="240">
        <f t="shared" si="30"/>
        <v>0</v>
      </c>
      <c r="AB93" s="240">
        <f t="shared" si="30"/>
        <v>0</v>
      </c>
      <c r="AC93" s="240">
        <f t="shared" si="30"/>
        <v>0</v>
      </c>
      <c r="AD93" s="240">
        <f t="shared" si="30"/>
        <v>0</v>
      </c>
      <c r="AE93" s="240">
        <f t="shared" si="30"/>
        <v>0</v>
      </c>
      <c r="AF93" s="240">
        <f t="shared" si="30"/>
        <v>0</v>
      </c>
      <c r="AG93" s="240">
        <f t="shared" si="30"/>
        <v>0</v>
      </c>
      <c r="AH93" s="240">
        <f t="shared" si="30"/>
        <v>0</v>
      </c>
      <c r="AI93" s="240">
        <f t="shared" si="30"/>
        <v>0</v>
      </c>
      <c r="AJ93" s="240">
        <f t="shared" si="30"/>
        <v>0</v>
      </c>
      <c r="AK93" s="240">
        <f t="shared" si="30"/>
        <v>0</v>
      </c>
      <c r="AL93" s="240">
        <f t="shared" si="30"/>
        <v>0</v>
      </c>
      <c r="AM93" s="240">
        <f t="shared" si="30"/>
        <v>0</v>
      </c>
      <c r="AN93" s="240">
        <f t="shared" si="30"/>
        <v>0</v>
      </c>
      <c r="AO93" s="240">
        <f t="shared" si="30"/>
        <v>0</v>
      </c>
      <c r="AP93" s="240">
        <f t="shared" si="30"/>
        <v>0</v>
      </c>
      <c r="AQ93" s="240">
        <f t="shared" si="30"/>
        <v>0</v>
      </c>
      <c r="AR93" s="240">
        <f t="shared" si="30"/>
        <v>0</v>
      </c>
      <c r="AS93" s="240">
        <f t="shared" si="30"/>
        <v>0</v>
      </c>
      <c r="AT93" s="240">
        <f t="shared" si="30"/>
        <v>0</v>
      </c>
      <c r="AU93" s="240">
        <f t="shared" si="30"/>
        <v>0</v>
      </c>
      <c r="AV93" s="240">
        <f t="shared" si="30"/>
        <v>0</v>
      </c>
      <c r="AW93" s="240">
        <f t="shared" si="30"/>
        <v>0</v>
      </c>
      <c r="AX93" s="240">
        <f t="shared" si="30"/>
        <v>0</v>
      </c>
      <c r="AY93" s="240">
        <f t="shared" si="30"/>
        <v>0</v>
      </c>
      <c r="AZ93" s="240">
        <f t="shared" si="30"/>
        <v>0</v>
      </c>
      <c r="BA93" s="240">
        <f t="shared" si="30"/>
        <v>0</v>
      </c>
      <c r="BB93" s="240">
        <f t="shared" si="30"/>
        <v>0</v>
      </c>
      <c r="BC93" s="240">
        <f t="shared" si="30"/>
        <v>0</v>
      </c>
      <c r="BD93" s="240">
        <f t="shared" si="30"/>
        <v>0</v>
      </c>
      <c r="BE93" s="240">
        <f t="shared" si="30"/>
        <v>0</v>
      </c>
      <c r="BF93" s="240">
        <f t="shared" si="30"/>
        <v>0</v>
      </c>
      <c r="BG93" s="240">
        <f t="shared" si="30"/>
        <v>0</v>
      </c>
      <c r="BH93" s="240">
        <f t="shared" si="30"/>
        <v>0</v>
      </c>
      <c r="BI93" s="240">
        <f t="shared" si="30"/>
        <v>0</v>
      </c>
      <c r="BJ93" s="240">
        <f t="shared" si="30"/>
        <v>0</v>
      </c>
      <c r="BK93" s="240">
        <f t="shared" si="30"/>
        <v>0</v>
      </c>
      <c r="BL93" s="240">
        <f t="shared" si="30"/>
        <v>0</v>
      </c>
      <c r="BM93" s="240">
        <f t="shared" si="30"/>
        <v>0</v>
      </c>
      <c r="BN93" s="240">
        <f t="shared" si="30"/>
        <v>0</v>
      </c>
      <c r="BO93" s="240">
        <f t="shared" si="30"/>
        <v>0</v>
      </c>
      <c r="BP93" s="240">
        <f t="shared" si="30"/>
        <v>0</v>
      </c>
      <c r="BQ93" s="240">
        <f t="shared" si="30"/>
        <v>0</v>
      </c>
      <c r="BR93" s="240">
        <f t="shared" si="30"/>
        <v>0</v>
      </c>
      <c r="BS93" s="240">
        <f t="shared" si="30"/>
        <v>0</v>
      </c>
      <c r="BT93" s="240">
        <f t="shared" si="30"/>
        <v>0</v>
      </c>
      <c r="BU93" s="240">
        <f t="shared" si="30"/>
        <v>0</v>
      </c>
      <c r="BV93" s="240">
        <f t="shared" si="30"/>
        <v>0</v>
      </c>
      <c r="BW93" s="240">
        <f aca="true" t="shared" si="31" ref="BW93:DB93">SUM(BW85:BW89)-SUM(BW90:BW92)</f>
        <v>0</v>
      </c>
      <c r="BX93" s="240">
        <f t="shared" si="31"/>
        <v>0</v>
      </c>
      <c r="BY93" s="240">
        <f t="shared" si="31"/>
        <v>0</v>
      </c>
      <c r="BZ93" s="240">
        <f t="shared" si="31"/>
        <v>0</v>
      </c>
      <c r="CA93" s="240">
        <f t="shared" si="31"/>
        <v>0</v>
      </c>
      <c r="CB93" s="240">
        <f t="shared" si="31"/>
        <v>0</v>
      </c>
      <c r="CC93" s="240">
        <f t="shared" si="31"/>
        <v>0</v>
      </c>
      <c r="CD93" s="240">
        <f t="shared" si="31"/>
        <v>0</v>
      </c>
      <c r="CE93" s="240">
        <f t="shared" si="31"/>
        <v>0</v>
      </c>
      <c r="CF93" s="240">
        <f t="shared" si="31"/>
        <v>0</v>
      </c>
      <c r="CG93" s="240">
        <f t="shared" si="31"/>
        <v>0</v>
      </c>
      <c r="CH93" s="240">
        <f t="shared" si="31"/>
        <v>0</v>
      </c>
      <c r="CI93" s="240">
        <f t="shared" si="31"/>
        <v>0</v>
      </c>
      <c r="CJ93" s="240">
        <f t="shared" si="31"/>
        <v>0</v>
      </c>
      <c r="CK93" s="240">
        <f t="shared" si="31"/>
        <v>0</v>
      </c>
      <c r="CL93" s="240">
        <f t="shared" si="31"/>
        <v>0</v>
      </c>
      <c r="CM93" s="240">
        <f t="shared" si="31"/>
        <v>0</v>
      </c>
      <c r="CN93" s="240">
        <f t="shared" si="31"/>
        <v>0</v>
      </c>
      <c r="CO93" s="240">
        <f t="shared" si="31"/>
        <v>0</v>
      </c>
      <c r="CP93" s="240">
        <f t="shared" si="31"/>
        <v>0</v>
      </c>
      <c r="CQ93" s="240">
        <f t="shared" si="31"/>
        <v>0</v>
      </c>
      <c r="CR93" s="240">
        <f t="shared" si="31"/>
        <v>0</v>
      </c>
      <c r="CS93" s="240">
        <f t="shared" si="31"/>
        <v>0</v>
      </c>
      <c r="CT93" s="240">
        <f t="shared" si="31"/>
        <v>0</v>
      </c>
      <c r="CU93" s="240">
        <f t="shared" si="31"/>
        <v>0</v>
      </c>
      <c r="CV93" s="240">
        <f t="shared" si="31"/>
        <v>0</v>
      </c>
      <c r="CW93" s="240">
        <f t="shared" si="31"/>
        <v>0</v>
      </c>
      <c r="CX93" s="240">
        <f t="shared" si="31"/>
        <v>0</v>
      </c>
      <c r="CY93" s="240">
        <f t="shared" si="31"/>
        <v>0</v>
      </c>
      <c r="CZ93" s="240">
        <f t="shared" si="31"/>
        <v>0</v>
      </c>
      <c r="DA93" s="240">
        <f t="shared" si="31"/>
        <v>0</v>
      </c>
      <c r="DB93" s="240">
        <f t="shared" si="31"/>
        <v>0</v>
      </c>
      <c r="DC93" s="240">
        <f>SUM(DC85:DC89)-SUM(DC90:DC92)</f>
        <v>0</v>
      </c>
      <c r="DD93" s="240">
        <f>SUM(DD85:DD89)-SUM(DD90:DD92)</f>
        <v>0</v>
      </c>
      <c r="DE93" s="240">
        <f>SUM(DE85:DE89)-SUM(DE90:DE92)</f>
        <v>0</v>
      </c>
      <c r="DF93" s="240">
        <f>SUM(DF85:DF89)-SUM(DF90:DF92)</f>
        <v>0</v>
      </c>
    </row>
    <row r="94" spans="1:110" ht="76.5">
      <c r="A94" s="134" t="s">
        <v>410</v>
      </c>
      <c r="B94" s="134">
        <v>1</v>
      </c>
      <c r="C94" s="134" t="s">
        <v>17</v>
      </c>
      <c r="D94" s="266">
        <f>Prices!C34</f>
        <v>568</v>
      </c>
      <c r="E94" s="244">
        <v>1</v>
      </c>
      <c r="F94" s="321">
        <f>E94*D94</f>
        <v>568</v>
      </c>
      <c r="G94" s="313">
        <f>F94</f>
        <v>568</v>
      </c>
      <c r="H94" s="317" t="s">
        <v>411</v>
      </c>
      <c r="J94" s="322" t="s">
        <v>372</v>
      </c>
      <c r="K94" s="268"/>
      <c r="N94" s="274" t="s">
        <v>374</v>
      </c>
      <c r="O94" s="275"/>
      <c r="P94" s="275"/>
      <c r="Q94" s="299"/>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row>
    <row r="95" spans="1:16" ht="18" customHeight="1">
      <c r="A95" s="137" t="s">
        <v>352</v>
      </c>
      <c r="B95" s="134"/>
      <c r="C95" s="134"/>
      <c r="D95" s="266"/>
      <c r="E95" s="244"/>
      <c r="F95" s="281">
        <f>SUM(F92:F94)</f>
        <v>2368</v>
      </c>
      <c r="G95" s="291">
        <f>SUM(G92:G94)</f>
        <v>2368</v>
      </c>
      <c r="H95" s="317"/>
      <c r="J95" s="39"/>
      <c r="K95" s="268"/>
      <c r="N95" s="282">
        <f>K85</f>
        <v>2368</v>
      </c>
      <c r="O95" s="283" t="s">
        <v>338</v>
      </c>
      <c r="P95" s="268"/>
    </row>
    <row r="96" spans="1:15" ht="18" customHeight="1">
      <c r="A96" s="323"/>
      <c r="B96" s="278"/>
      <c r="C96" s="278"/>
      <c r="D96" s="324"/>
      <c r="E96" s="325"/>
      <c r="F96" s="325"/>
      <c r="G96" s="326"/>
      <c r="H96" s="317"/>
      <c r="J96" s="56" t="s">
        <v>472</v>
      </c>
      <c r="K96" s="281">
        <f>NPV('Farm and Buffer Assumptions'!C29,K93:AD93)</f>
        <v>2557.2291093986673</v>
      </c>
      <c r="N96" s="284">
        <f>NPV('Farm and Buffer Assumptions'!C29,K86:P86)</f>
        <v>1498.2094383227613</v>
      </c>
      <c r="O96" s="54" t="s">
        <v>355</v>
      </c>
    </row>
    <row r="97" spans="1:15" ht="18" customHeight="1">
      <c r="A97" s="683" t="s">
        <v>354</v>
      </c>
      <c r="B97" s="683"/>
      <c r="C97" s="337"/>
      <c r="D97" s="337"/>
      <c r="E97" s="691"/>
      <c r="F97" s="650"/>
      <c r="G97" s="691"/>
      <c r="H97" s="688"/>
      <c r="J97" s="56" t="s">
        <v>473</v>
      </c>
      <c r="K97" s="281">
        <f>NPV('Farm and Buffer Assumptions'!C29,K93:AN93)</f>
        <v>2557.2291093986673</v>
      </c>
      <c r="N97" s="284">
        <f>NPV('Farm and Buffer Assumptions'!C29,K87:L87)</f>
        <v>61.482988165680474</v>
      </c>
      <c r="O97" s="283" t="s">
        <v>401</v>
      </c>
    </row>
    <row r="98" spans="1:25" ht="38.25">
      <c r="A98" s="134" t="s">
        <v>356</v>
      </c>
      <c r="B98" s="134">
        <f>'Farm and Buffer Assumptions'!C49</f>
        <v>5</v>
      </c>
      <c r="C98" s="134" t="s">
        <v>17</v>
      </c>
      <c r="D98" s="266">
        <f>Prices!C38</f>
        <v>350</v>
      </c>
      <c r="E98" s="244">
        <v>1</v>
      </c>
      <c r="F98" s="321">
        <f>E98*D98</f>
        <v>350</v>
      </c>
      <c r="G98" s="313">
        <f>(-PV('Farm and Buffer Assumptions'!C29,B98,F98))</f>
        <v>1558.137815855674</v>
      </c>
      <c r="H98" s="317" t="s">
        <v>412</v>
      </c>
      <c r="J98" s="56" t="s">
        <v>474</v>
      </c>
      <c r="K98" s="281">
        <f>NPV('Farm and Buffer Assumptions'!C29,K93:AX93)</f>
        <v>2557.2291093986673</v>
      </c>
      <c r="L98" s="2"/>
      <c r="M98" s="2"/>
      <c r="N98" s="285">
        <f>NPV('Farm and Buffer Assumptions'!C29,K88:Y88)</f>
        <v>2557.2291093986673</v>
      </c>
      <c r="O98" s="283" t="s">
        <v>342</v>
      </c>
      <c r="P98" s="2"/>
      <c r="Q98" s="2"/>
      <c r="R98" s="2"/>
      <c r="S98" s="2"/>
      <c r="T98" s="2"/>
      <c r="U98" s="2"/>
      <c r="V98" s="2"/>
      <c r="W98" s="2"/>
      <c r="X98" s="2"/>
      <c r="Y98" s="2"/>
    </row>
    <row r="99" spans="1:15" ht="18" customHeight="1">
      <c r="A99" s="134" t="s">
        <v>413</v>
      </c>
      <c r="B99" s="134">
        <v>2</v>
      </c>
      <c r="C99" s="134" t="s">
        <v>17</v>
      </c>
      <c r="D99" s="266">
        <f>D93</f>
        <v>950</v>
      </c>
      <c r="E99" s="244">
        <v>0.07</v>
      </c>
      <c r="F99" s="321">
        <f>E99*D99</f>
        <v>66.5</v>
      </c>
      <c r="G99" s="313">
        <f>F99/(1+'Farm and Buffer Assumptions'!C29)^B99</f>
        <v>61.48298816568047</v>
      </c>
      <c r="H99" s="317" t="s">
        <v>414</v>
      </c>
      <c r="J99" s="56" t="s">
        <v>475</v>
      </c>
      <c r="K99" s="281">
        <f>NPV('Farm and Buffer Assumptions'!C29,K93:BH93)</f>
        <v>2557.2291093986673</v>
      </c>
      <c r="N99" s="284">
        <f>K89</f>
        <v>0</v>
      </c>
      <c r="O99" s="283" t="s">
        <v>344</v>
      </c>
    </row>
    <row r="100" spans="1:15" ht="18" customHeight="1">
      <c r="A100" s="137" t="s">
        <v>359</v>
      </c>
      <c r="B100" s="134"/>
      <c r="C100" s="134"/>
      <c r="D100" s="266"/>
      <c r="E100" s="244"/>
      <c r="F100" s="281">
        <f>SUM(F98:F99)</f>
        <v>416.5</v>
      </c>
      <c r="G100" s="291">
        <f>SUM(G98:G99)</f>
        <v>1619.6208040213546</v>
      </c>
      <c r="H100" s="317"/>
      <c r="J100" s="56" t="s">
        <v>476</v>
      </c>
      <c r="K100" s="281">
        <f>NPV('Farm and Buffer Assumptions'!C29,K93:BR93)</f>
        <v>2557.2291093986673</v>
      </c>
      <c r="N100" s="287">
        <f>K90</f>
        <v>2368</v>
      </c>
      <c r="O100" s="288" t="s">
        <v>360</v>
      </c>
    </row>
    <row r="101" spans="1:15" ht="18" customHeight="1">
      <c r="A101" s="323"/>
      <c r="B101" s="278"/>
      <c r="C101" s="278"/>
      <c r="D101" s="324"/>
      <c r="E101" s="325"/>
      <c r="F101" s="327"/>
      <c r="G101" s="328"/>
      <c r="H101" s="317"/>
      <c r="J101" s="56" t="s">
        <v>477</v>
      </c>
      <c r="K101" s="281">
        <f>NPV('Farm and Buffer Assumptions'!C29,K93:CB93)</f>
        <v>2557.2291093986673</v>
      </c>
      <c r="N101" s="284">
        <f>NPV('Farm and Buffer Assumptions'!C29,K91:P91)</f>
        <v>1498.2094383227613</v>
      </c>
      <c r="O101" t="s">
        <v>415</v>
      </c>
    </row>
    <row r="102" spans="1:15" ht="18" customHeight="1">
      <c r="A102" s="260" t="s">
        <v>361</v>
      </c>
      <c r="B102" s="260"/>
      <c r="C102" s="260"/>
      <c r="D102" s="289"/>
      <c r="E102" s="290"/>
      <c r="F102" s="329">
        <f>F95+F100</f>
        <v>2784.5</v>
      </c>
      <c r="G102" s="330">
        <f>G95+G100</f>
        <v>3987.6208040213546</v>
      </c>
      <c r="H102" s="331"/>
      <c r="J102" s="56" t="s">
        <v>478</v>
      </c>
      <c r="K102" s="281">
        <f>NPV('Farm and Buffer Assumptions'!C29,K93:CL93)</f>
        <v>2557.2291093986673</v>
      </c>
      <c r="N102" s="284">
        <f>NPV('Farm and Buffer Assumptions'!C29,K92:L92)</f>
        <v>61.482988165680474</v>
      </c>
      <c r="O102" t="s">
        <v>416</v>
      </c>
    </row>
    <row r="103" spans="1:14" ht="18" customHeight="1">
      <c r="A103" s="323"/>
      <c r="B103" s="278"/>
      <c r="C103" s="278"/>
      <c r="D103" s="278"/>
      <c r="E103" s="325"/>
      <c r="F103" s="279"/>
      <c r="G103" s="326"/>
      <c r="H103" s="277"/>
      <c r="J103" s="56" t="s">
        <v>479</v>
      </c>
      <c r="K103" s="281">
        <f>NPV('Farm and Buffer Assumptions'!C29,K93:CV93)</f>
        <v>2557.2291093986673</v>
      </c>
      <c r="N103" s="332"/>
    </row>
    <row r="104" spans="1:15" ht="18" customHeight="1">
      <c r="A104" s="719" t="s">
        <v>363</v>
      </c>
      <c r="B104" s="719"/>
      <c r="C104" s="719"/>
      <c r="D104" s="719"/>
      <c r="E104" s="720"/>
      <c r="F104" s="721"/>
      <c r="G104" s="721">
        <f>G89-G102</f>
        <v>2557.22910939867</v>
      </c>
      <c r="H104" s="722"/>
      <c r="J104" s="56" t="s">
        <v>480</v>
      </c>
      <c r="K104" s="281">
        <f>NPV('Farm and Buffer Assumptions'!C29,K93:DF93)</f>
        <v>2557.2291093986673</v>
      </c>
      <c r="N104" s="333">
        <f>SUM(N95:N99)-SUM(N100:N102)</f>
        <v>2557.229109398668</v>
      </c>
      <c r="O104" t="s">
        <v>364</v>
      </c>
    </row>
    <row r="105" spans="1:8" ht="37.5" customHeight="1">
      <c r="A105" s="794" t="s">
        <v>486</v>
      </c>
      <c r="B105" s="795"/>
      <c r="C105" s="795"/>
      <c r="D105" s="795"/>
      <c r="E105" s="795"/>
      <c r="F105" s="795"/>
      <c r="G105" s="795"/>
      <c r="H105" s="795"/>
    </row>
    <row r="106" spans="1:11" ht="29.25" customHeight="1">
      <c r="A106" s="821" t="s">
        <v>417</v>
      </c>
      <c r="B106" s="814"/>
      <c r="C106" s="814"/>
      <c r="D106" s="814"/>
      <c r="E106" s="814"/>
      <c r="F106" s="814"/>
      <c r="G106" s="814"/>
      <c r="H106" s="814"/>
      <c r="J106" t="s">
        <v>366</v>
      </c>
      <c r="K106" s="294">
        <f>K96-G104</f>
        <v>0</v>
      </c>
    </row>
    <row r="107" spans="1:8" ht="22.5" customHeight="1">
      <c r="A107" s="820" t="s">
        <v>367</v>
      </c>
      <c r="B107" s="814"/>
      <c r="C107" s="814"/>
      <c r="D107" s="814"/>
      <c r="E107" s="814"/>
      <c r="F107" s="814"/>
      <c r="G107" s="814"/>
      <c r="H107" s="814"/>
    </row>
    <row r="108" spans="1:8" ht="26.25" customHeight="1">
      <c r="A108" s="814" t="s">
        <v>418</v>
      </c>
      <c r="B108" s="814"/>
      <c r="C108" s="814"/>
      <c r="D108" s="814"/>
      <c r="E108" s="814"/>
      <c r="F108" s="814"/>
      <c r="G108" s="814"/>
      <c r="H108" s="814"/>
    </row>
    <row r="109" spans="1:8" ht="30.75" customHeight="1">
      <c r="A109" s="814" t="s">
        <v>483</v>
      </c>
      <c r="B109" s="814"/>
      <c r="C109" s="814"/>
      <c r="D109" s="814"/>
      <c r="E109" s="814"/>
      <c r="F109" s="814"/>
      <c r="G109" s="814"/>
      <c r="H109" s="814"/>
    </row>
    <row r="110" spans="1:8" ht="24.75" customHeight="1" thickBot="1">
      <c r="A110" s="2"/>
      <c r="B110" s="2"/>
      <c r="C110" s="2"/>
      <c r="D110" s="2"/>
      <c r="E110" s="2"/>
      <c r="G110" s="235"/>
      <c r="H110" s="2"/>
    </row>
    <row r="111" spans="1:11" ht="57" thickBot="1">
      <c r="A111" s="675" t="s">
        <v>419</v>
      </c>
      <c r="B111" s="676" t="s">
        <v>333</v>
      </c>
      <c r="C111" s="652" t="s">
        <v>2</v>
      </c>
      <c r="D111" s="653" t="s">
        <v>3</v>
      </c>
      <c r="E111" s="677" t="s">
        <v>4</v>
      </c>
      <c r="F111" s="653" t="s">
        <v>5</v>
      </c>
      <c r="G111" s="677" t="s">
        <v>334</v>
      </c>
      <c r="H111" s="652" t="s">
        <v>335</v>
      </c>
      <c r="K111" t="s">
        <v>331</v>
      </c>
    </row>
    <row r="112" spans="1:110" ht="18" customHeight="1" thickBot="1">
      <c r="A112" s="679" t="s">
        <v>399</v>
      </c>
      <c r="B112" s="680"/>
      <c r="C112" s="658"/>
      <c r="D112" s="659"/>
      <c r="E112" s="681"/>
      <c r="F112" s="659"/>
      <c r="G112" s="681"/>
      <c r="H112" s="682"/>
      <c r="J112" s="256" t="s">
        <v>336</v>
      </c>
      <c r="K112" s="134">
        <v>1</v>
      </c>
      <c r="L112" s="134">
        <v>2</v>
      </c>
      <c r="M112" s="134">
        <v>3</v>
      </c>
      <c r="N112" s="134">
        <v>4</v>
      </c>
      <c r="O112" s="134">
        <v>5</v>
      </c>
      <c r="P112" s="134">
        <v>6</v>
      </c>
      <c r="Q112" s="134">
        <v>7</v>
      </c>
      <c r="R112" s="134">
        <v>8</v>
      </c>
      <c r="S112" s="134">
        <v>9</v>
      </c>
      <c r="T112" s="134">
        <v>10</v>
      </c>
      <c r="U112" s="134">
        <v>11</v>
      </c>
      <c r="V112" s="134">
        <v>12</v>
      </c>
      <c r="W112" s="134">
        <v>13</v>
      </c>
      <c r="X112" s="134">
        <v>14</v>
      </c>
      <c r="Y112" s="134">
        <v>15</v>
      </c>
      <c r="Z112" s="132">
        <v>16</v>
      </c>
      <c r="AA112" s="132">
        <v>17</v>
      </c>
      <c r="AB112" s="132">
        <v>18</v>
      </c>
      <c r="AC112" s="132">
        <v>19</v>
      </c>
      <c r="AD112" s="132">
        <v>20</v>
      </c>
      <c r="AE112" s="132">
        <v>21</v>
      </c>
      <c r="AF112" s="132">
        <v>22</v>
      </c>
      <c r="AG112" s="132">
        <v>23</v>
      </c>
      <c r="AH112" s="132">
        <v>24</v>
      </c>
      <c r="AI112" s="132">
        <v>25</v>
      </c>
      <c r="AJ112" s="132">
        <v>26</v>
      </c>
      <c r="AK112" s="132">
        <v>27</v>
      </c>
      <c r="AL112" s="132">
        <v>28</v>
      </c>
      <c r="AM112" s="132">
        <v>29</v>
      </c>
      <c r="AN112" s="132">
        <v>30</v>
      </c>
      <c r="AO112" s="132">
        <v>31</v>
      </c>
      <c r="AP112" s="132">
        <v>32</v>
      </c>
      <c r="AQ112" s="132">
        <v>33</v>
      </c>
      <c r="AR112" s="132">
        <v>34</v>
      </c>
      <c r="AS112" s="132">
        <v>35</v>
      </c>
      <c r="AT112" s="132">
        <v>36</v>
      </c>
      <c r="AU112" s="132">
        <v>37</v>
      </c>
      <c r="AV112" s="132">
        <v>38</v>
      </c>
      <c r="AW112" s="132">
        <v>39</v>
      </c>
      <c r="AX112" s="132">
        <v>40</v>
      </c>
      <c r="AY112" s="132">
        <v>41</v>
      </c>
      <c r="AZ112" s="132">
        <v>42</v>
      </c>
      <c r="BA112" s="132">
        <v>43</v>
      </c>
      <c r="BB112" s="132">
        <v>44</v>
      </c>
      <c r="BC112" s="132">
        <v>45</v>
      </c>
      <c r="BD112" s="132">
        <v>46</v>
      </c>
      <c r="BE112" s="132">
        <v>47</v>
      </c>
      <c r="BF112" s="132">
        <v>48</v>
      </c>
      <c r="BG112" s="132">
        <v>49</v>
      </c>
      <c r="BH112" s="132">
        <v>50</v>
      </c>
      <c r="BI112" s="132">
        <v>51</v>
      </c>
      <c r="BJ112" s="132">
        <v>52</v>
      </c>
      <c r="BK112" s="132">
        <v>53</v>
      </c>
      <c r="BL112" s="132">
        <v>54</v>
      </c>
      <c r="BM112" s="132">
        <v>55</v>
      </c>
      <c r="BN112" s="132">
        <v>56</v>
      </c>
      <c r="BO112" s="132">
        <v>57</v>
      </c>
      <c r="BP112" s="132">
        <v>58</v>
      </c>
      <c r="BQ112" s="132">
        <v>59</v>
      </c>
      <c r="BR112" s="132">
        <v>60</v>
      </c>
      <c r="BS112" s="132">
        <v>61</v>
      </c>
      <c r="BT112" s="132">
        <v>62</v>
      </c>
      <c r="BU112" s="132">
        <v>63</v>
      </c>
      <c r="BV112" s="132">
        <v>64</v>
      </c>
      <c r="BW112" s="132">
        <v>65</v>
      </c>
      <c r="BX112" s="132">
        <v>66</v>
      </c>
      <c r="BY112" s="132">
        <v>67</v>
      </c>
      <c r="BZ112" s="132">
        <v>68</v>
      </c>
      <c r="CA112" s="132">
        <v>69</v>
      </c>
      <c r="CB112" s="132">
        <v>70</v>
      </c>
      <c r="CC112" s="132">
        <v>71</v>
      </c>
      <c r="CD112" s="132">
        <v>72</v>
      </c>
      <c r="CE112" s="132">
        <v>73</v>
      </c>
      <c r="CF112" s="132">
        <v>74</v>
      </c>
      <c r="CG112" s="132">
        <v>75</v>
      </c>
      <c r="CH112" s="132">
        <v>76</v>
      </c>
      <c r="CI112" s="132">
        <v>77</v>
      </c>
      <c r="CJ112" s="132">
        <v>78</v>
      </c>
      <c r="CK112" s="132">
        <v>79</v>
      </c>
      <c r="CL112" s="132">
        <v>80</v>
      </c>
      <c r="CM112" s="132">
        <v>81</v>
      </c>
      <c r="CN112" s="132">
        <v>82</v>
      </c>
      <c r="CO112" s="132">
        <v>83</v>
      </c>
      <c r="CP112" s="132">
        <v>84</v>
      </c>
      <c r="CQ112" s="132">
        <v>85</v>
      </c>
      <c r="CR112" s="132">
        <v>86</v>
      </c>
      <c r="CS112" s="132">
        <v>87</v>
      </c>
      <c r="CT112" s="132">
        <v>88</v>
      </c>
      <c r="CU112" s="132">
        <v>89</v>
      </c>
      <c r="CV112" s="132">
        <v>90</v>
      </c>
      <c r="CW112" s="132">
        <v>91</v>
      </c>
      <c r="CX112" s="132">
        <v>92</v>
      </c>
      <c r="CY112" s="132">
        <v>93</v>
      </c>
      <c r="CZ112" s="132">
        <v>94</v>
      </c>
      <c r="DA112" s="132">
        <v>95</v>
      </c>
      <c r="DB112" s="132">
        <v>96</v>
      </c>
      <c r="DC112" s="132">
        <v>97</v>
      </c>
      <c r="DD112" s="132">
        <v>98</v>
      </c>
      <c r="DE112" s="132">
        <v>99</v>
      </c>
      <c r="DF112" s="132">
        <v>100</v>
      </c>
    </row>
    <row r="113" spans="1:110" ht="18" customHeight="1" thickBot="1">
      <c r="A113" s="133" t="s">
        <v>338</v>
      </c>
      <c r="B113" s="134">
        <v>1</v>
      </c>
      <c r="C113" s="134" t="s">
        <v>17</v>
      </c>
      <c r="D113" s="134">
        <f>IF('Farm and Buffer Assumptions'!C74=1,F124*'Farm and Buffer Assumptions'!C47,0)</f>
        <v>2368</v>
      </c>
      <c r="E113" s="244">
        <v>1</v>
      </c>
      <c r="F113" s="257">
        <f>E113*D113</f>
        <v>2368</v>
      </c>
      <c r="G113" s="258">
        <f>F113</f>
        <v>2368</v>
      </c>
      <c r="H113" s="259"/>
      <c r="J113" s="134" t="s">
        <v>337</v>
      </c>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4"/>
      <c r="DE113" s="134"/>
      <c r="DF113" s="134"/>
    </row>
    <row r="114" spans="1:110" ht="18" customHeight="1" thickBot="1">
      <c r="A114" s="133" t="s">
        <v>400</v>
      </c>
      <c r="B114" s="134">
        <f>'Farm and Buffer Assumptions'!C49</f>
        <v>5</v>
      </c>
      <c r="C114" s="134" t="s">
        <v>17</v>
      </c>
      <c r="D114" s="134">
        <f>IF('Farm and Buffer Assumptions'!C75=1,F127*'Farm and Buffer Assumptions'!C48,0)</f>
        <v>350</v>
      </c>
      <c r="E114" s="244">
        <v>1</v>
      </c>
      <c r="F114" s="257">
        <f>E114*D114</f>
        <v>350</v>
      </c>
      <c r="G114" s="334">
        <f>(-PV('Farm and Buffer Assumptions'!C29,B114,F114))</f>
        <v>1558.137815855674</v>
      </c>
      <c r="H114" s="335"/>
      <c r="J114" s="134" t="s">
        <v>339</v>
      </c>
      <c r="K114" s="257">
        <f>F113</f>
        <v>2368</v>
      </c>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row>
    <row r="115" spans="1:110" ht="18" customHeight="1" thickBot="1">
      <c r="A115" s="133" t="s">
        <v>401</v>
      </c>
      <c r="B115" s="134">
        <v>2</v>
      </c>
      <c r="C115" s="134" t="s">
        <v>17</v>
      </c>
      <c r="D115" s="134">
        <f>IF('Farm and Buffer Assumptions'!C75=1,F128*'Farm and Buffer Assumptions'!C48,0)</f>
        <v>95</v>
      </c>
      <c r="E115" s="244">
        <v>1</v>
      </c>
      <c r="F115" s="257">
        <f>E115*D115</f>
        <v>95</v>
      </c>
      <c r="G115" s="313">
        <f>F115/(1+'Farm and Buffer Assumptions'!C29)^B115</f>
        <v>87.83284023668638</v>
      </c>
      <c r="H115" s="335"/>
      <c r="J115" s="134" t="s">
        <v>402</v>
      </c>
      <c r="K115" s="134">
        <v>0</v>
      </c>
      <c r="L115" s="257">
        <f aca="true" t="shared" si="32" ref="L115:BW115">IF(L112=($B$114+1),$F$114,IF(L112&lt;=$B$114,$F$114,0))</f>
        <v>350</v>
      </c>
      <c r="M115" s="257">
        <f t="shared" si="32"/>
        <v>350</v>
      </c>
      <c r="N115" s="257">
        <f t="shared" si="32"/>
        <v>350</v>
      </c>
      <c r="O115" s="257">
        <f t="shared" si="32"/>
        <v>350</v>
      </c>
      <c r="P115" s="257">
        <f t="shared" si="32"/>
        <v>350</v>
      </c>
      <c r="Q115" s="257">
        <f t="shared" si="32"/>
        <v>0</v>
      </c>
      <c r="R115" s="257">
        <f t="shared" si="32"/>
        <v>0</v>
      </c>
      <c r="S115" s="257">
        <f t="shared" si="32"/>
        <v>0</v>
      </c>
      <c r="T115" s="257">
        <f t="shared" si="32"/>
        <v>0</v>
      </c>
      <c r="U115" s="257">
        <f t="shared" si="32"/>
        <v>0</v>
      </c>
      <c r="V115" s="257">
        <f t="shared" si="32"/>
        <v>0</v>
      </c>
      <c r="W115" s="257">
        <f t="shared" si="32"/>
        <v>0</v>
      </c>
      <c r="X115" s="257">
        <f t="shared" si="32"/>
        <v>0</v>
      </c>
      <c r="Y115" s="257">
        <f t="shared" si="32"/>
        <v>0</v>
      </c>
      <c r="Z115" s="257">
        <f t="shared" si="32"/>
        <v>0</v>
      </c>
      <c r="AA115" s="257">
        <f t="shared" si="32"/>
        <v>0</v>
      </c>
      <c r="AB115" s="257">
        <f t="shared" si="32"/>
        <v>0</v>
      </c>
      <c r="AC115" s="257">
        <f t="shared" si="32"/>
        <v>0</v>
      </c>
      <c r="AD115" s="257">
        <f t="shared" si="32"/>
        <v>0</v>
      </c>
      <c r="AE115" s="257">
        <f t="shared" si="32"/>
        <v>0</v>
      </c>
      <c r="AF115" s="257">
        <f t="shared" si="32"/>
        <v>0</v>
      </c>
      <c r="AG115" s="257">
        <f t="shared" si="32"/>
        <v>0</v>
      </c>
      <c r="AH115" s="257">
        <f t="shared" si="32"/>
        <v>0</v>
      </c>
      <c r="AI115" s="257">
        <f t="shared" si="32"/>
        <v>0</v>
      </c>
      <c r="AJ115" s="257">
        <f t="shared" si="32"/>
        <v>0</v>
      </c>
      <c r="AK115" s="257">
        <f t="shared" si="32"/>
        <v>0</v>
      </c>
      <c r="AL115" s="257">
        <f t="shared" si="32"/>
        <v>0</v>
      </c>
      <c r="AM115" s="257">
        <f t="shared" si="32"/>
        <v>0</v>
      </c>
      <c r="AN115" s="257">
        <f t="shared" si="32"/>
        <v>0</v>
      </c>
      <c r="AO115" s="257">
        <f t="shared" si="32"/>
        <v>0</v>
      </c>
      <c r="AP115" s="257">
        <f t="shared" si="32"/>
        <v>0</v>
      </c>
      <c r="AQ115" s="257">
        <f t="shared" si="32"/>
        <v>0</v>
      </c>
      <c r="AR115" s="257">
        <f t="shared" si="32"/>
        <v>0</v>
      </c>
      <c r="AS115" s="257">
        <f t="shared" si="32"/>
        <v>0</v>
      </c>
      <c r="AT115" s="257">
        <f t="shared" si="32"/>
        <v>0</v>
      </c>
      <c r="AU115" s="257">
        <f t="shared" si="32"/>
        <v>0</v>
      </c>
      <c r="AV115" s="257">
        <f t="shared" si="32"/>
        <v>0</v>
      </c>
      <c r="AW115" s="257">
        <f t="shared" si="32"/>
        <v>0</v>
      </c>
      <c r="AX115" s="257">
        <f t="shared" si="32"/>
        <v>0</v>
      </c>
      <c r="AY115" s="257">
        <f t="shared" si="32"/>
        <v>0</v>
      </c>
      <c r="AZ115" s="257">
        <f t="shared" si="32"/>
        <v>0</v>
      </c>
      <c r="BA115" s="257">
        <f t="shared" si="32"/>
        <v>0</v>
      </c>
      <c r="BB115" s="257">
        <f t="shared" si="32"/>
        <v>0</v>
      </c>
      <c r="BC115" s="257">
        <f t="shared" si="32"/>
        <v>0</v>
      </c>
      <c r="BD115" s="257">
        <f t="shared" si="32"/>
        <v>0</v>
      </c>
      <c r="BE115" s="257">
        <f t="shared" si="32"/>
        <v>0</v>
      </c>
      <c r="BF115" s="257">
        <f t="shared" si="32"/>
        <v>0</v>
      </c>
      <c r="BG115" s="257">
        <f t="shared" si="32"/>
        <v>0</v>
      </c>
      <c r="BH115" s="257">
        <f t="shared" si="32"/>
        <v>0</v>
      </c>
      <c r="BI115" s="257">
        <f t="shared" si="32"/>
        <v>0</v>
      </c>
      <c r="BJ115" s="257">
        <f t="shared" si="32"/>
        <v>0</v>
      </c>
      <c r="BK115" s="257">
        <f t="shared" si="32"/>
        <v>0</v>
      </c>
      <c r="BL115" s="257">
        <f t="shared" si="32"/>
        <v>0</v>
      </c>
      <c r="BM115" s="257">
        <f t="shared" si="32"/>
        <v>0</v>
      </c>
      <c r="BN115" s="257">
        <f t="shared" si="32"/>
        <v>0</v>
      </c>
      <c r="BO115" s="257">
        <f t="shared" si="32"/>
        <v>0</v>
      </c>
      <c r="BP115" s="257">
        <f t="shared" si="32"/>
        <v>0</v>
      </c>
      <c r="BQ115" s="257">
        <f t="shared" si="32"/>
        <v>0</v>
      </c>
      <c r="BR115" s="257">
        <f t="shared" si="32"/>
        <v>0</v>
      </c>
      <c r="BS115" s="257">
        <f t="shared" si="32"/>
        <v>0</v>
      </c>
      <c r="BT115" s="257">
        <f t="shared" si="32"/>
        <v>0</v>
      </c>
      <c r="BU115" s="257">
        <f t="shared" si="32"/>
        <v>0</v>
      </c>
      <c r="BV115" s="257">
        <f t="shared" si="32"/>
        <v>0</v>
      </c>
      <c r="BW115" s="257">
        <f t="shared" si="32"/>
        <v>0</v>
      </c>
      <c r="BX115" s="257">
        <f aca="true" t="shared" si="33" ref="BX115:DF115">IF(BX112=($B$114+1),$F$114,IF(BX112&lt;=$B$114,$F$114,0))</f>
        <v>0</v>
      </c>
      <c r="BY115" s="257">
        <f t="shared" si="33"/>
        <v>0</v>
      </c>
      <c r="BZ115" s="257">
        <f t="shared" si="33"/>
        <v>0</v>
      </c>
      <c r="CA115" s="257">
        <f t="shared" si="33"/>
        <v>0</v>
      </c>
      <c r="CB115" s="257">
        <f t="shared" si="33"/>
        <v>0</v>
      </c>
      <c r="CC115" s="257">
        <f t="shared" si="33"/>
        <v>0</v>
      </c>
      <c r="CD115" s="257">
        <f t="shared" si="33"/>
        <v>0</v>
      </c>
      <c r="CE115" s="257">
        <f t="shared" si="33"/>
        <v>0</v>
      </c>
      <c r="CF115" s="257">
        <f t="shared" si="33"/>
        <v>0</v>
      </c>
      <c r="CG115" s="257">
        <f t="shared" si="33"/>
        <v>0</v>
      </c>
      <c r="CH115" s="257">
        <f t="shared" si="33"/>
        <v>0</v>
      </c>
      <c r="CI115" s="257">
        <f t="shared" si="33"/>
        <v>0</v>
      </c>
      <c r="CJ115" s="257">
        <f t="shared" si="33"/>
        <v>0</v>
      </c>
      <c r="CK115" s="257">
        <f t="shared" si="33"/>
        <v>0</v>
      </c>
      <c r="CL115" s="257">
        <f t="shared" si="33"/>
        <v>0</v>
      </c>
      <c r="CM115" s="257">
        <f t="shared" si="33"/>
        <v>0</v>
      </c>
      <c r="CN115" s="257">
        <f t="shared" si="33"/>
        <v>0</v>
      </c>
      <c r="CO115" s="257">
        <f t="shared" si="33"/>
        <v>0</v>
      </c>
      <c r="CP115" s="257">
        <f t="shared" si="33"/>
        <v>0</v>
      </c>
      <c r="CQ115" s="257">
        <f t="shared" si="33"/>
        <v>0</v>
      </c>
      <c r="CR115" s="257">
        <f t="shared" si="33"/>
        <v>0</v>
      </c>
      <c r="CS115" s="257">
        <f t="shared" si="33"/>
        <v>0</v>
      </c>
      <c r="CT115" s="257">
        <f t="shared" si="33"/>
        <v>0</v>
      </c>
      <c r="CU115" s="257">
        <f t="shared" si="33"/>
        <v>0</v>
      </c>
      <c r="CV115" s="257">
        <f t="shared" si="33"/>
        <v>0</v>
      </c>
      <c r="CW115" s="257">
        <f t="shared" si="33"/>
        <v>0</v>
      </c>
      <c r="CX115" s="257">
        <f t="shared" si="33"/>
        <v>0</v>
      </c>
      <c r="CY115" s="257">
        <f t="shared" si="33"/>
        <v>0</v>
      </c>
      <c r="CZ115" s="257">
        <f t="shared" si="33"/>
        <v>0</v>
      </c>
      <c r="DA115" s="257">
        <f t="shared" si="33"/>
        <v>0</v>
      </c>
      <c r="DB115" s="257">
        <f t="shared" si="33"/>
        <v>0</v>
      </c>
      <c r="DC115" s="257">
        <f t="shared" si="33"/>
        <v>0</v>
      </c>
      <c r="DD115" s="257">
        <f t="shared" si="33"/>
        <v>0</v>
      </c>
      <c r="DE115" s="257">
        <f t="shared" si="33"/>
        <v>0</v>
      </c>
      <c r="DF115" s="257">
        <f t="shared" si="33"/>
        <v>0</v>
      </c>
    </row>
    <row r="116" spans="1:110" ht="18" customHeight="1" thickBot="1">
      <c r="A116" s="134" t="s">
        <v>342</v>
      </c>
      <c r="B116" s="134">
        <f>'Farm and Buffer Assumptions'!C44</f>
        <v>15</v>
      </c>
      <c r="C116" s="134" t="s">
        <v>17</v>
      </c>
      <c r="D116" s="134">
        <f>IF('Farm and Buffer Assumptions'!C72=1,Prices!C24*'Farm and Buffer Assumptions'!C45,0)</f>
        <v>230</v>
      </c>
      <c r="E116" s="244">
        <v>1</v>
      </c>
      <c r="F116" s="257">
        <f>E116*D116</f>
        <v>230</v>
      </c>
      <c r="G116" s="258">
        <f>-PV('Farm and Buffer Assumptions'!C29,B116,F116)</f>
        <v>2557.2291093986696</v>
      </c>
      <c r="H116" s="259"/>
      <c r="J116" s="134" t="s">
        <v>403</v>
      </c>
      <c r="K116" s="134">
        <v>0</v>
      </c>
      <c r="L116" s="257">
        <f>F115</f>
        <v>95</v>
      </c>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row>
    <row r="117" spans="1:110" ht="18" customHeight="1" thickBot="1">
      <c r="A117" s="134" t="s">
        <v>344</v>
      </c>
      <c r="B117" s="134">
        <v>1</v>
      </c>
      <c r="C117" s="134" t="s">
        <v>17</v>
      </c>
      <c r="D117" s="134">
        <f>IF('Farm and Buffer Assumptions'!C73=1,'Farm and Buffer Assumptions'!C46,0)</f>
        <v>0</v>
      </c>
      <c r="E117" s="244">
        <v>1</v>
      </c>
      <c r="F117" s="257">
        <f>E117*D117</f>
        <v>0</v>
      </c>
      <c r="G117" s="258">
        <f>F117</f>
        <v>0</v>
      </c>
      <c r="H117" s="259"/>
      <c r="J117" s="134" t="s">
        <v>343</v>
      </c>
      <c r="K117" s="257">
        <f aca="true" t="shared" si="34" ref="K117:BV117">IF(K112&lt;=$B$116,$F$116,0)</f>
        <v>230</v>
      </c>
      <c r="L117" s="257">
        <f t="shared" si="34"/>
        <v>230</v>
      </c>
      <c r="M117" s="257">
        <f t="shared" si="34"/>
        <v>230</v>
      </c>
      <c r="N117" s="257">
        <f t="shared" si="34"/>
        <v>230</v>
      </c>
      <c r="O117" s="257">
        <f t="shared" si="34"/>
        <v>230</v>
      </c>
      <c r="P117" s="257">
        <f t="shared" si="34"/>
        <v>230</v>
      </c>
      <c r="Q117" s="257">
        <f t="shared" si="34"/>
        <v>230</v>
      </c>
      <c r="R117" s="257">
        <f t="shared" si="34"/>
        <v>230</v>
      </c>
      <c r="S117" s="257">
        <f t="shared" si="34"/>
        <v>230</v>
      </c>
      <c r="T117" s="257">
        <f t="shared" si="34"/>
        <v>230</v>
      </c>
      <c r="U117" s="257">
        <f t="shared" si="34"/>
        <v>230</v>
      </c>
      <c r="V117" s="257">
        <f t="shared" si="34"/>
        <v>230</v>
      </c>
      <c r="W117" s="257">
        <f t="shared" si="34"/>
        <v>230</v>
      </c>
      <c r="X117" s="257">
        <f t="shared" si="34"/>
        <v>230</v>
      </c>
      <c r="Y117" s="257">
        <f t="shared" si="34"/>
        <v>230</v>
      </c>
      <c r="Z117" s="257">
        <f t="shared" si="34"/>
        <v>0</v>
      </c>
      <c r="AA117" s="257">
        <f t="shared" si="34"/>
        <v>0</v>
      </c>
      <c r="AB117" s="257">
        <f t="shared" si="34"/>
        <v>0</v>
      </c>
      <c r="AC117" s="257">
        <f t="shared" si="34"/>
        <v>0</v>
      </c>
      <c r="AD117" s="257">
        <f t="shared" si="34"/>
        <v>0</v>
      </c>
      <c r="AE117" s="257">
        <f t="shared" si="34"/>
        <v>0</v>
      </c>
      <c r="AF117" s="257">
        <f t="shared" si="34"/>
        <v>0</v>
      </c>
      <c r="AG117" s="257">
        <f t="shared" si="34"/>
        <v>0</v>
      </c>
      <c r="AH117" s="257">
        <f t="shared" si="34"/>
        <v>0</v>
      </c>
      <c r="AI117" s="257">
        <f t="shared" si="34"/>
        <v>0</v>
      </c>
      <c r="AJ117" s="257">
        <f t="shared" si="34"/>
        <v>0</v>
      </c>
      <c r="AK117" s="257">
        <f t="shared" si="34"/>
        <v>0</v>
      </c>
      <c r="AL117" s="257">
        <f t="shared" si="34"/>
        <v>0</v>
      </c>
      <c r="AM117" s="257">
        <f t="shared" si="34"/>
        <v>0</v>
      </c>
      <c r="AN117" s="257">
        <f t="shared" si="34"/>
        <v>0</v>
      </c>
      <c r="AO117" s="257">
        <f t="shared" si="34"/>
        <v>0</v>
      </c>
      <c r="AP117" s="257">
        <f t="shared" si="34"/>
        <v>0</v>
      </c>
      <c r="AQ117" s="257">
        <f t="shared" si="34"/>
        <v>0</v>
      </c>
      <c r="AR117" s="257">
        <f t="shared" si="34"/>
        <v>0</v>
      </c>
      <c r="AS117" s="257">
        <f t="shared" si="34"/>
        <v>0</v>
      </c>
      <c r="AT117" s="257">
        <f t="shared" si="34"/>
        <v>0</v>
      </c>
      <c r="AU117" s="257">
        <f t="shared" si="34"/>
        <v>0</v>
      </c>
      <c r="AV117" s="257">
        <f t="shared" si="34"/>
        <v>0</v>
      </c>
      <c r="AW117" s="257">
        <f t="shared" si="34"/>
        <v>0</v>
      </c>
      <c r="AX117" s="257">
        <f t="shared" si="34"/>
        <v>0</v>
      </c>
      <c r="AY117" s="257">
        <f t="shared" si="34"/>
        <v>0</v>
      </c>
      <c r="AZ117" s="257">
        <f t="shared" si="34"/>
        <v>0</v>
      </c>
      <c r="BA117" s="257">
        <f t="shared" si="34"/>
        <v>0</v>
      </c>
      <c r="BB117" s="257">
        <f t="shared" si="34"/>
        <v>0</v>
      </c>
      <c r="BC117" s="257">
        <f t="shared" si="34"/>
        <v>0</v>
      </c>
      <c r="BD117" s="257">
        <f t="shared" si="34"/>
        <v>0</v>
      </c>
      <c r="BE117" s="257">
        <f t="shared" si="34"/>
        <v>0</v>
      </c>
      <c r="BF117" s="257">
        <f t="shared" si="34"/>
        <v>0</v>
      </c>
      <c r="BG117" s="257">
        <f t="shared" si="34"/>
        <v>0</v>
      </c>
      <c r="BH117" s="257">
        <f t="shared" si="34"/>
        <v>0</v>
      </c>
      <c r="BI117" s="257">
        <f t="shared" si="34"/>
        <v>0</v>
      </c>
      <c r="BJ117" s="257">
        <f t="shared" si="34"/>
        <v>0</v>
      </c>
      <c r="BK117" s="257">
        <f t="shared" si="34"/>
        <v>0</v>
      </c>
      <c r="BL117" s="257">
        <f t="shared" si="34"/>
        <v>0</v>
      </c>
      <c r="BM117" s="257">
        <f t="shared" si="34"/>
        <v>0</v>
      </c>
      <c r="BN117" s="257">
        <f t="shared" si="34"/>
        <v>0</v>
      </c>
      <c r="BO117" s="257">
        <f t="shared" si="34"/>
        <v>0</v>
      </c>
      <c r="BP117" s="257">
        <f t="shared" si="34"/>
        <v>0</v>
      </c>
      <c r="BQ117" s="257">
        <f t="shared" si="34"/>
        <v>0</v>
      </c>
      <c r="BR117" s="257">
        <f t="shared" si="34"/>
        <v>0</v>
      </c>
      <c r="BS117" s="257">
        <f t="shared" si="34"/>
        <v>0</v>
      </c>
      <c r="BT117" s="257">
        <f t="shared" si="34"/>
        <v>0</v>
      </c>
      <c r="BU117" s="257">
        <f t="shared" si="34"/>
        <v>0</v>
      </c>
      <c r="BV117" s="257">
        <f t="shared" si="34"/>
        <v>0</v>
      </c>
      <c r="BW117" s="257">
        <f aca="true" t="shared" si="35" ref="BW117:DF117">IF(BW112&lt;=$B$116,$F$116,0)</f>
        <v>0</v>
      </c>
      <c r="BX117" s="257">
        <f t="shared" si="35"/>
        <v>0</v>
      </c>
      <c r="BY117" s="257">
        <f t="shared" si="35"/>
        <v>0</v>
      </c>
      <c r="BZ117" s="257">
        <f t="shared" si="35"/>
        <v>0</v>
      </c>
      <c r="CA117" s="257">
        <f t="shared" si="35"/>
        <v>0</v>
      </c>
      <c r="CB117" s="257">
        <f t="shared" si="35"/>
        <v>0</v>
      </c>
      <c r="CC117" s="257">
        <f t="shared" si="35"/>
        <v>0</v>
      </c>
      <c r="CD117" s="257">
        <f t="shared" si="35"/>
        <v>0</v>
      </c>
      <c r="CE117" s="257">
        <f t="shared" si="35"/>
        <v>0</v>
      </c>
      <c r="CF117" s="257">
        <f t="shared" si="35"/>
        <v>0</v>
      </c>
      <c r="CG117" s="257">
        <f t="shared" si="35"/>
        <v>0</v>
      </c>
      <c r="CH117" s="257">
        <f t="shared" si="35"/>
        <v>0</v>
      </c>
      <c r="CI117" s="257">
        <f t="shared" si="35"/>
        <v>0</v>
      </c>
      <c r="CJ117" s="257">
        <f t="shared" si="35"/>
        <v>0</v>
      </c>
      <c r="CK117" s="257">
        <f t="shared" si="35"/>
        <v>0</v>
      </c>
      <c r="CL117" s="257">
        <f t="shared" si="35"/>
        <v>0</v>
      </c>
      <c r="CM117" s="257">
        <f t="shared" si="35"/>
        <v>0</v>
      </c>
      <c r="CN117" s="257">
        <f t="shared" si="35"/>
        <v>0</v>
      </c>
      <c r="CO117" s="257">
        <f t="shared" si="35"/>
        <v>0</v>
      </c>
      <c r="CP117" s="257">
        <f t="shared" si="35"/>
        <v>0</v>
      </c>
      <c r="CQ117" s="257">
        <f t="shared" si="35"/>
        <v>0</v>
      </c>
      <c r="CR117" s="257">
        <f t="shared" si="35"/>
        <v>0</v>
      </c>
      <c r="CS117" s="257">
        <f t="shared" si="35"/>
        <v>0</v>
      </c>
      <c r="CT117" s="257">
        <f t="shared" si="35"/>
        <v>0</v>
      </c>
      <c r="CU117" s="257">
        <f t="shared" si="35"/>
        <v>0</v>
      </c>
      <c r="CV117" s="257">
        <f t="shared" si="35"/>
        <v>0</v>
      </c>
      <c r="CW117" s="257">
        <f t="shared" si="35"/>
        <v>0</v>
      </c>
      <c r="CX117" s="257">
        <f t="shared" si="35"/>
        <v>0</v>
      </c>
      <c r="CY117" s="257">
        <f t="shared" si="35"/>
        <v>0</v>
      </c>
      <c r="CZ117" s="257">
        <f t="shared" si="35"/>
        <v>0</v>
      </c>
      <c r="DA117" s="257">
        <f t="shared" si="35"/>
        <v>0</v>
      </c>
      <c r="DB117" s="257">
        <f t="shared" si="35"/>
        <v>0</v>
      </c>
      <c r="DC117" s="257">
        <f t="shared" si="35"/>
        <v>0</v>
      </c>
      <c r="DD117" s="257">
        <f t="shared" si="35"/>
        <v>0</v>
      </c>
      <c r="DE117" s="257">
        <f t="shared" si="35"/>
        <v>0</v>
      </c>
      <c r="DF117" s="257">
        <f t="shared" si="35"/>
        <v>0</v>
      </c>
    </row>
    <row r="118" spans="1:110" ht="18" customHeight="1">
      <c r="A118" s="260" t="s">
        <v>346</v>
      </c>
      <c r="B118" s="260"/>
      <c r="C118" s="137"/>
      <c r="D118" s="137"/>
      <c r="E118" s="314"/>
      <c r="F118" s="281">
        <f>SUM(F113:F117)</f>
        <v>3043</v>
      </c>
      <c r="G118" s="291">
        <f>SUM(G113:G117)</f>
        <v>6571.19976549103</v>
      </c>
      <c r="H118" s="315"/>
      <c r="J118" s="134" t="s">
        <v>345</v>
      </c>
      <c r="K118" s="257">
        <f>F117</f>
        <v>0</v>
      </c>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134"/>
      <c r="BY118" s="134"/>
      <c r="BZ118" s="134"/>
      <c r="CA118" s="134"/>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134"/>
      <c r="CZ118" s="134"/>
      <c r="DA118" s="134"/>
      <c r="DB118" s="134"/>
      <c r="DC118" s="134"/>
      <c r="DD118" s="134"/>
      <c r="DE118" s="134"/>
      <c r="DF118" s="134"/>
    </row>
    <row r="119" spans="1:110" ht="18" customHeight="1">
      <c r="A119" s="316"/>
      <c r="B119" s="54"/>
      <c r="C119" s="54"/>
      <c r="D119" s="54"/>
      <c r="E119" s="318"/>
      <c r="F119" s="319"/>
      <c r="G119" s="320"/>
      <c r="H119" s="317"/>
      <c r="J119" s="134" t="s">
        <v>347</v>
      </c>
      <c r="K119" s="257">
        <f>F124</f>
        <v>2368</v>
      </c>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134"/>
      <c r="CZ119" s="134"/>
      <c r="DA119" s="134"/>
      <c r="DB119" s="134"/>
      <c r="DC119" s="134"/>
      <c r="DD119" s="134"/>
      <c r="DE119" s="134"/>
      <c r="DF119" s="134"/>
    </row>
    <row r="120" spans="1:110" ht="21.75" customHeight="1">
      <c r="A120" s="683" t="s">
        <v>349</v>
      </c>
      <c r="B120" s="683"/>
      <c r="C120" s="337"/>
      <c r="D120" s="337"/>
      <c r="E120" s="691"/>
      <c r="F120" s="692"/>
      <c r="G120" s="692"/>
      <c r="H120" s="688" t="s">
        <v>369</v>
      </c>
      <c r="J120" s="134" t="s">
        <v>404</v>
      </c>
      <c r="K120" s="257">
        <v>0</v>
      </c>
      <c r="L120" s="321">
        <f>F127</f>
        <v>350</v>
      </c>
      <c r="M120" s="321">
        <f>F127</f>
        <v>350</v>
      </c>
      <c r="N120" s="321">
        <f>F127</f>
        <v>350</v>
      </c>
      <c r="O120" s="321">
        <f>F127</f>
        <v>350</v>
      </c>
      <c r="P120" s="321">
        <f>F127</f>
        <v>350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134"/>
      <c r="CZ120" s="134"/>
      <c r="DA120" s="134"/>
      <c r="DB120" s="134"/>
      <c r="DC120" s="134"/>
      <c r="DD120" s="134"/>
      <c r="DE120" s="134"/>
      <c r="DF120" s="134"/>
    </row>
    <row r="121" spans="1:110" ht="42" customHeight="1">
      <c r="A121" s="133" t="s">
        <v>405</v>
      </c>
      <c r="B121" s="133">
        <v>1</v>
      </c>
      <c r="C121" s="134" t="s">
        <v>17</v>
      </c>
      <c r="D121" s="266">
        <f>Prices!C36</f>
        <v>850</v>
      </c>
      <c r="E121" s="244">
        <v>1</v>
      </c>
      <c r="F121" s="321">
        <f>E121*D121</f>
        <v>850</v>
      </c>
      <c r="G121" s="313">
        <f>E121*D121</f>
        <v>850</v>
      </c>
      <c r="H121" s="86" t="s">
        <v>406</v>
      </c>
      <c r="J121" s="134" t="s">
        <v>407</v>
      </c>
      <c r="K121" s="134">
        <v>0</v>
      </c>
      <c r="L121" s="257">
        <f>F128</f>
        <v>95</v>
      </c>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row>
    <row r="122" spans="1:110" ht="68.25" customHeight="1">
      <c r="A122" s="134" t="s">
        <v>420</v>
      </c>
      <c r="B122" s="134">
        <v>1</v>
      </c>
      <c r="C122" s="134" t="s">
        <v>17</v>
      </c>
      <c r="D122" s="266">
        <f>Prices!C33</f>
        <v>950</v>
      </c>
      <c r="E122" s="244">
        <v>1</v>
      </c>
      <c r="F122" s="321">
        <f>E122*D122</f>
        <v>950</v>
      </c>
      <c r="G122" s="313">
        <f>E122*D122</f>
        <v>950</v>
      </c>
      <c r="H122" s="86" t="s">
        <v>421</v>
      </c>
      <c r="J122" s="296" t="s">
        <v>350</v>
      </c>
      <c r="K122" s="240">
        <f aca="true" t="shared" si="36" ref="K122:Y122">SUM(K114:K118)-SUM(K119:K121)</f>
        <v>230</v>
      </c>
      <c r="L122" s="240">
        <f t="shared" si="36"/>
        <v>230</v>
      </c>
      <c r="M122" s="240">
        <f t="shared" si="36"/>
        <v>230</v>
      </c>
      <c r="N122" s="240">
        <f t="shared" si="36"/>
        <v>230</v>
      </c>
      <c r="O122" s="240">
        <f t="shared" si="36"/>
        <v>230</v>
      </c>
      <c r="P122" s="240">
        <f t="shared" si="36"/>
        <v>230</v>
      </c>
      <c r="Q122" s="240">
        <f t="shared" si="36"/>
        <v>230</v>
      </c>
      <c r="R122" s="240">
        <f t="shared" si="36"/>
        <v>230</v>
      </c>
      <c r="S122" s="240">
        <f t="shared" si="36"/>
        <v>230</v>
      </c>
      <c r="T122" s="240">
        <f t="shared" si="36"/>
        <v>230</v>
      </c>
      <c r="U122" s="240">
        <f t="shared" si="36"/>
        <v>230</v>
      </c>
      <c r="V122" s="240">
        <f t="shared" si="36"/>
        <v>230</v>
      </c>
      <c r="W122" s="240">
        <f t="shared" si="36"/>
        <v>230</v>
      </c>
      <c r="X122" s="240">
        <f t="shared" si="36"/>
        <v>230</v>
      </c>
      <c r="Y122" s="240">
        <f t="shared" si="36"/>
        <v>230</v>
      </c>
      <c r="Z122" s="240">
        <f aca="true" t="shared" si="37" ref="Z122:CK122">SUM(Z114:Z118)-SUM(Z119:Z121)</f>
        <v>0</v>
      </c>
      <c r="AA122" s="240">
        <f t="shared" si="37"/>
        <v>0</v>
      </c>
      <c r="AB122" s="240">
        <f t="shared" si="37"/>
        <v>0</v>
      </c>
      <c r="AC122" s="240">
        <f t="shared" si="37"/>
        <v>0</v>
      </c>
      <c r="AD122" s="240">
        <f t="shared" si="37"/>
        <v>0</v>
      </c>
      <c r="AE122" s="240">
        <f t="shared" si="37"/>
        <v>0</v>
      </c>
      <c r="AF122" s="240">
        <f t="shared" si="37"/>
        <v>0</v>
      </c>
      <c r="AG122" s="240">
        <f t="shared" si="37"/>
        <v>0</v>
      </c>
      <c r="AH122" s="240">
        <f t="shared" si="37"/>
        <v>0</v>
      </c>
      <c r="AI122" s="240">
        <f t="shared" si="37"/>
        <v>0</v>
      </c>
      <c r="AJ122" s="240">
        <f t="shared" si="37"/>
        <v>0</v>
      </c>
      <c r="AK122" s="240">
        <f t="shared" si="37"/>
        <v>0</v>
      </c>
      <c r="AL122" s="240">
        <f t="shared" si="37"/>
        <v>0</v>
      </c>
      <c r="AM122" s="240">
        <f t="shared" si="37"/>
        <v>0</v>
      </c>
      <c r="AN122" s="240">
        <f t="shared" si="37"/>
        <v>0</v>
      </c>
      <c r="AO122" s="240">
        <f t="shared" si="37"/>
        <v>0</v>
      </c>
      <c r="AP122" s="240">
        <f t="shared" si="37"/>
        <v>0</v>
      </c>
      <c r="AQ122" s="240">
        <f t="shared" si="37"/>
        <v>0</v>
      </c>
      <c r="AR122" s="240">
        <f t="shared" si="37"/>
        <v>0</v>
      </c>
      <c r="AS122" s="240">
        <f t="shared" si="37"/>
        <v>0</v>
      </c>
      <c r="AT122" s="240">
        <f t="shared" si="37"/>
        <v>0</v>
      </c>
      <c r="AU122" s="240">
        <f t="shared" si="37"/>
        <v>0</v>
      </c>
      <c r="AV122" s="240">
        <f t="shared" si="37"/>
        <v>0</v>
      </c>
      <c r="AW122" s="240">
        <f t="shared" si="37"/>
        <v>0</v>
      </c>
      <c r="AX122" s="240">
        <f t="shared" si="37"/>
        <v>0</v>
      </c>
      <c r="AY122" s="240">
        <f t="shared" si="37"/>
        <v>0</v>
      </c>
      <c r="AZ122" s="240">
        <f t="shared" si="37"/>
        <v>0</v>
      </c>
      <c r="BA122" s="240">
        <f t="shared" si="37"/>
        <v>0</v>
      </c>
      <c r="BB122" s="240">
        <f t="shared" si="37"/>
        <v>0</v>
      </c>
      <c r="BC122" s="240">
        <f t="shared" si="37"/>
        <v>0</v>
      </c>
      <c r="BD122" s="240">
        <f t="shared" si="37"/>
        <v>0</v>
      </c>
      <c r="BE122" s="240">
        <f t="shared" si="37"/>
        <v>0</v>
      </c>
      <c r="BF122" s="240">
        <f t="shared" si="37"/>
        <v>0</v>
      </c>
      <c r="BG122" s="240">
        <f t="shared" si="37"/>
        <v>0</v>
      </c>
      <c r="BH122" s="240">
        <f t="shared" si="37"/>
        <v>0</v>
      </c>
      <c r="BI122" s="240">
        <f t="shared" si="37"/>
        <v>0</v>
      </c>
      <c r="BJ122" s="240">
        <f t="shared" si="37"/>
        <v>0</v>
      </c>
      <c r="BK122" s="240">
        <f t="shared" si="37"/>
        <v>0</v>
      </c>
      <c r="BL122" s="240">
        <f t="shared" si="37"/>
        <v>0</v>
      </c>
      <c r="BM122" s="240">
        <f t="shared" si="37"/>
        <v>0</v>
      </c>
      <c r="BN122" s="240">
        <f t="shared" si="37"/>
        <v>0</v>
      </c>
      <c r="BO122" s="240">
        <f t="shared" si="37"/>
        <v>0</v>
      </c>
      <c r="BP122" s="240">
        <f t="shared" si="37"/>
        <v>0</v>
      </c>
      <c r="BQ122" s="240">
        <f t="shared" si="37"/>
        <v>0</v>
      </c>
      <c r="BR122" s="240">
        <f t="shared" si="37"/>
        <v>0</v>
      </c>
      <c r="BS122" s="240">
        <f t="shared" si="37"/>
        <v>0</v>
      </c>
      <c r="BT122" s="240">
        <f t="shared" si="37"/>
        <v>0</v>
      </c>
      <c r="BU122" s="240">
        <f t="shared" si="37"/>
        <v>0</v>
      </c>
      <c r="BV122" s="240">
        <f t="shared" si="37"/>
        <v>0</v>
      </c>
      <c r="BW122" s="240">
        <f t="shared" si="37"/>
        <v>0</v>
      </c>
      <c r="BX122" s="240">
        <f t="shared" si="37"/>
        <v>0</v>
      </c>
      <c r="BY122" s="240">
        <f t="shared" si="37"/>
        <v>0</v>
      </c>
      <c r="BZ122" s="240">
        <f t="shared" si="37"/>
        <v>0</v>
      </c>
      <c r="CA122" s="240">
        <f t="shared" si="37"/>
        <v>0</v>
      </c>
      <c r="CB122" s="240">
        <f t="shared" si="37"/>
        <v>0</v>
      </c>
      <c r="CC122" s="240">
        <f t="shared" si="37"/>
        <v>0</v>
      </c>
      <c r="CD122" s="240">
        <f t="shared" si="37"/>
        <v>0</v>
      </c>
      <c r="CE122" s="240">
        <f t="shared" si="37"/>
        <v>0</v>
      </c>
      <c r="CF122" s="240">
        <f t="shared" si="37"/>
        <v>0</v>
      </c>
      <c r="CG122" s="240">
        <f t="shared" si="37"/>
        <v>0</v>
      </c>
      <c r="CH122" s="240">
        <f t="shared" si="37"/>
        <v>0</v>
      </c>
      <c r="CI122" s="240">
        <f t="shared" si="37"/>
        <v>0</v>
      </c>
      <c r="CJ122" s="240">
        <f t="shared" si="37"/>
        <v>0</v>
      </c>
      <c r="CK122" s="240">
        <f t="shared" si="37"/>
        <v>0</v>
      </c>
      <c r="CL122" s="240">
        <f aca="true" t="shared" si="38" ref="CL122:DF122">SUM(CL114:CL118)-SUM(CL119:CL121)</f>
        <v>0</v>
      </c>
      <c r="CM122" s="240">
        <f t="shared" si="38"/>
        <v>0</v>
      </c>
      <c r="CN122" s="240">
        <f t="shared" si="38"/>
        <v>0</v>
      </c>
      <c r="CO122" s="240">
        <f t="shared" si="38"/>
        <v>0</v>
      </c>
      <c r="CP122" s="240">
        <f t="shared" si="38"/>
        <v>0</v>
      </c>
      <c r="CQ122" s="240">
        <f t="shared" si="38"/>
        <v>0</v>
      </c>
      <c r="CR122" s="240">
        <f t="shared" si="38"/>
        <v>0</v>
      </c>
      <c r="CS122" s="240">
        <f t="shared" si="38"/>
        <v>0</v>
      </c>
      <c r="CT122" s="240">
        <f t="shared" si="38"/>
        <v>0</v>
      </c>
      <c r="CU122" s="240">
        <f t="shared" si="38"/>
        <v>0</v>
      </c>
      <c r="CV122" s="240">
        <f t="shared" si="38"/>
        <v>0</v>
      </c>
      <c r="CW122" s="240">
        <f t="shared" si="38"/>
        <v>0</v>
      </c>
      <c r="CX122" s="240">
        <f t="shared" si="38"/>
        <v>0</v>
      </c>
      <c r="CY122" s="240">
        <f t="shared" si="38"/>
        <v>0</v>
      </c>
      <c r="CZ122" s="240">
        <f t="shared" si="38"/>
        <v>0</v>
      </c>
      <c r="DA122" s="240">
        <f t="shared" si="38"/>
        <v>0</v>
      </c>
      <c r="DB122" s="240">
        <f t="shared" si="38"/>
        <v>0</v>
      </c>
      <c r="DC122" s="240">
        <f t="shared" si="38"/>
        <v>0</v>
      </c>
      <c r="DD122" s="240">
        <f t="shared" si="38"/>
        <v>0</v>
      </c>
      <c r="DE122" s="240">
        <f t="shared" si="38"/>
        <v>0</v>
      </c>
      <c r="DF122" s="240">
        <f t="shared" si="38"/>
        <v>0</v>
      </c>
    </row>
    <row r="123" spans="1:110" ht="56.25" customHeight="1">
      <c r="A123" s="134" t="s">
        <v>422</v>
      </c>
      <c r="B123" s="134">
        <v>1</v>
      </c>
      <c r="C123" s="134" t="s">
        <v>17</v>
      </c>
      <c r="D123" s="266">
        <f>Prices!C34</f>
        <v>568</v>
      </c>
      <c r="E123" s="244">
        <v>1</v>
      </c>
      <c r="F123" s="321">
        <f>E123*D123</f>
        <v>568</v>
      </c>
      <c r="G123" s="313">
        <f>E123*D123</f>
        <v>568</v>
      </c>
      <c r="H123" s="86" t="s">
        <v>113</v>
      </c>
      <c r="J123" t="s">
        <v>372</v>
      </c>
      <c r="K123" s="268"/>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row>
    <row r="124" spans="1:16" ht="18" customHeight="1">
      <c r="A124" s="137" t="s">
        <v>352</v>
      </c>
      <c r="B124" s="134"/>
      <c r="C124" s="134"/>
      <c r="D124" s="266"/>
      <c r="E124" s="244"/>
      <c r="F124" s="281">
        <f>SUM(F121:F123)</f>
        <v>2368</v>
      </c>
      <c r="G124" s="291">
        <f>SUM(G121:G123)</f>
        <v>2368</v>
      </c>
      <c r="H124" s="317"/>
      <c r="P124" s="268"/>
    </row>
    <row r="125" spans="1:17" ht="18" customHeight="1">
      <c r="A125" s="323"/>
      <c r="B125" s="278"/>
      <c r="C125" s="278"/>
      <c r="D125" s="324"/>
      <c r="E125" s="325"/>
      <c r="F125" s="325"/>
      <c r="G125" s="326"/>
      <c r="H125" s="317"/>
      <c r="N125" s="274" t="s">
        <v>374</v>
      </c>
      <c r="O125" s="275"/>
      <c r="P125" s="275"/>
      <c r="Q125" s="299"/>
    </row>
    <row r="126" spans="1:15" ht="18" customHeight="1">
      <c r="A126" s="683" t="s">
        <v>354</v>
      </c>
      <c r="B126" s="683"/>
      <c r="C126" s="337"/>
      <c r="D126" s="337"/>
      <c r="E126" s="691"/>
      <c r="F126" s="650"/>
      <c r="G126" s="691"/>
      <c r="H126" s="688"/>
      <c r="J126" s="39"/>
      <c r="K126" s="268"/>
      <c r="N126" s="282">
        <f>K114</f>
        <v>2368</v>
      </c>
      <c r="O126" s="283" t="s">
        <v>338</v>
      </c>
    </row>
    <row r="127" spans="1:25" ht="38.25">
      <c r="A127" s="134" t="s">
        <v>356</v>
      </c>
      <c r="B127" s="134">
        <v>5</v>
      </c>
      <c r="C127" s="134" t="s">
        <v>17</v>
      </c>
      <c r="D127" s="266">
        <f>Prices!C38</f>
        <v>350</v>
      </c>
      <c r="E127" s="244">
        <v>1</v>
      </c>
      <c r="F127" s="321">
        <f>E127*D127</f>
        <v>350</v>
      </c>
      <c r="G127" s="313">
        <f>(-PV('Farm and Buffer Assumptions'!C29,B127,F127))</f>
        <v>1558.137815855674</v>
      </c>
      <c r="H127" s="317" t="s">
        <v>412</v>
      </c>
      <c r="J127" s="56" t="s">
        <v>472</v>
      </c>
      <c r="K127" s="281">
        <f>NPV('Farm and Buffer Assumptions'!C29,K122:AD122)</f>
        <v>2557.2291093986673</v>
      </c>
      <c r="N127" s="284">
        <f>NPV('Farm and Buffer Assumptions'!C29,K115:P115)</f>
        <v>1498.2094383227613</v>
      </c>
      <c r="O127" s="54" t="s">
        <v>355</v>
      </c>
      <c r="P127" s="2"/>
      <c r="Q127" s="2"/>
      <c r="R127" s="2"/>
      <c r="S127" s="2"/>
      <c r="T127" s="2"/>
      <c r="U127" s="2"/>
      <c r="V127" s="2"/>
      <c r="W127" s="2"/>
      <c r="X127" s="2"/>
      <c r="Y127" s="2"/>
    </row>
    <row r="128" spans="1:15" ht="18" customHeight="1">
      <c r="A128" s="134" t="s">
        <v>423</v>
      </c>
      <c r="B128" s="134">
        <v>2</v>
      </c>
      <c r="C128" s="134" t="s">
        <v>17</v>
      </c>
      <c r="D128" s="266">
        <f>D122</f>
        <v>950</v>
      </c>
      <c r="E128" s="244">
        <v>0.1</v>
      </c>
      <c r="F128" s="321">
        <f>E128*D128</f>
        <v>95</v>
      </c>
      <c r="G128" s="313">
        <f>(F128/(1+'Farm and Buffer Assumptions'!C29)^2)</f>
        <v>87.83284023668638</v>
      </c>
      <c r="H128" s="317" t="s">
        <v>424</v>
      </c>
      <c r="J128" s="56" t="s">
        <v>473</v>
      </c>
      <c r="K128" s="281">
        <f>NPV('Farm and Buffer Assumptions'!C29,K122:AN122)</f>
        <v>2557.2291093986673</v>
      </c>
      <c r="N128" s="284">
        <f>NPV('Farm and Buffer Assumptions'!C29,K116:L116)</f>
        <v>87.83284023668638</v>
      </c>
      <c r="O128" s="283" t="s">
        <v>401</v>
      </c>
    </row>
    <row r="129" spans="1:15" ht="18" customHeight="1">
      <c r="A129" s="137" t="s">
        <v>359</v>
      </c>
      <c r="B129" s="134"/>
      <c r="C129" s="134"/>
      <c r="D129" s="266"/>
      <c r="E129" s="244"/>
      <c r="F129" s="281">
        <f>SUM(F127:F128)</f>
        <v>445</v>
      </c>
      <c r="G129" s="291">
        <f>SUM(G127:G128)</f>
        <v>1645.9706560923605</v>
      </c>
      <c r="H129" s="317"/>
      <c r="J129" s="56" t="s">
        <v>474</v>
      </c>
      <c r="K129" s="281">
        <f>NPV('Farm and Buffer Assumptions'!C29,K122:AX122)</f>
        <v>2557.2291093986673</v>
      </c>
      <c r="L129" s="2"/>
      <c r="M129" s="2"/>
      <c r="N129" s="285">
        <f>NPV('Farm and Buffer Assumptions'!C29,K117:Y117)</f>
        <v>2557.2291093986673</v>
      </c>
      <c r="O129" s="283" t="s">
        <v>342</v>
      </c>
    </row>
    <row r="130" spans="1:15" ht="18" customHeight="1">
      <c r="A130" s="323"/>
      <c r="B130" s="278"/>
      <c r="C130" s="278"/>
      <c r="D130" s="324"/>
      <c r="E130" s="325"/>
      <c r="F130" s="327"/>
      <c r="G130" s="328"/>
      <c r="H130" s="317"/>
      <c r="J130" s="56" t="s">
        <v>475</v>
      </c>
      <c r="K130" s="281">
        <f>NPV('Farm and Buffer Assumptions'!C29,K122:BH122)</f>
        <v>2557.2291093986673</v>
      </c>
      <c r="N130" s="284">
        <f>K118</f>
        <v>0</v>
      </c>
      <c r="O130" s="283" t="s">
        <v>344</v>
      </c>
    </row>
    <row r="131" spans="1:15" ht="18" customHeight="1">
      <c r="A131" s="260" t="s">
        <v>361</v>
      </c>
      <c r="B131" s="260"/>
      <c r="C131" s="260"/>
      <c r="D131" s="289"/>
      <c r="E131" s="290"/>
      <c r="F131" s="329">
        <f>F124+F129</f>
        <v>2813</v>
      </c>
      <c r="G131" s="330">
        <f>G124+G129</f>
        <v>4013.9706560923605</v>
      </c>
      <c r="H131" s="331"/>
      <c r="J131" s="56" t="s">
        <v>476</v>
      </c>
      <c r="K131" s="281">
        <f>NPV('Farm and Buffer Assumptions'!C29,K122:BR122)</f>
        <v>2557.2291093986673</v>
      </c>
      <c r="N131" s="287">
        <f>K119</f>
        <v>2368</v>
      </c>
      <c r="O131" s="288" t="s">
        <v>360</v>
      </c>
    </row>
    <row r="132" spans="1:15" ht="18" customHeight="1">
      <c r="A132" s="323"/>
      <c r="B132" s="278"/>
      <c r="C132" s="278"/>
      <c r="D132" s="278"/>
      <c r="E132" s="325"/>
      <c r="F132" s="279"/>
      <c r="G132" s="326"/>
      <c r="H132" s="277"/>
      <c r="J132" s="56" t="s">
        <v>477</v>
      </c>
      <c r="K132" s="281">
        <f>NPV('Farm and Buffer Assumptions'!C29,K122:CB122)</f>
        <v>2557.2291093986673</v>
      </c>
      <c r="N132" s="284">
        <f>NPV('Farm and Buffer Assumptions'!C29,K120:P120)</f>
        <v>1498.2094383227613</v>
      </c>
      <c r="O132" t="s">
        <v>415</v>
      </c>
    </row>
    <row r="133" spans="1:15" ht="18" customHeight="1">
      <c r="A133" s="719" t="s">
        <v>363</v>
      </c>
      <c r="B133" s="719"/>
      <c r="C133" s="719"/>
      <c r="D133" s="719"/>
      <c r="E133" s="720"/>
      <c r="F133" s="721"/>
      <c r="G133" s="721">
        <f>G118-G131</f>
        <v>2557.2291093986696</v>
      </c>
      <c r="H133" s="722"/>
      <c r="J133" s="56" t="s">
        <v>478</v>
      </c>
      <c r="K133" s="281">
        <f>NPV('Farm and Buffer Assumptions'!C29,K122:CL122)</f>
        <v>2557.2291093986673</v>
      </c>
      <c r="N133" s="284">
        <f>NPV('Farm and Buffer Assumptions'!C29,K121:L121)</f>
        <v>87.83284023668638</v>
      </c>
      <c r="O133" t="s">
        <v>416</v>
      </c>
    </row>
    <row r="134" spans="1:14" ht="53.25" customHeight="1">
      <c r="A134" s="794" t="s">
        <v>487</v>
      </c>
      <c r="B134" s="795"/>
      <c r="C134" s="795"/>
      <c r="D134" s="795"/>
      <c r="E134" s="795"/>
      <c r="F134" s="795"/>
      <c r="G134" s="795"/>
      <c r="H134" s="795"/>
      <c r="J134" s="56" t="s">
        <v>479</v>
      </c>
      <c r="K134" s="281">
        <f>NPV('Farm and Buffer Assumptions'!C29,K122:CV122)</f>
        <v>2557.2291093986673</v>
      </c>
      <c r="N134" s="332"/>
    </row>
    <row r="135" spans="1:15" ht="27" customHeight="1">
      <c r="A135" s="821" t="s">
        <v>425</v>
      </c>
      <c r="B135" s="814"/>
      <c r="C135" s="814"/>
      <c r="D135" s="814"/>
      <c r="E135" s="814"/>
      <c r="F135" s="814"/>
      <c r="G135" s="814"/>
      <c r="H135" s="814"/>
      <c r="J135" s="56" t="s">
        <v>480</v>
      </c>
      <c r="K135" s="281">
        <f>NPV('Farm and Buffer Assumptions'!C29,K122:DF122)</f>
        <v>2557.2291093986673</v>
      </c>
      <c r="N135" s="333">
        <f>SUM(N126:N130)-SUM(N131:N133)</f>
        <v>2557.2291093986673</v>
      </c>
      <c r="O135" t="s">
        <v>364</v>
      </c>
    </row>
    <row r="136" spans="1:9" ht="21.75" customHeight="1">
      <c r="A136" s="820" t="s">
        <v>367</v>
      </c>
      <c r="B136" s="814"/>
      <c r="C136" s="814"/>
      <c r="D136" s="814"/>
      <c r="E136" s="814"/>
      <c r="F136" s="814"/>
      <c r="G136" s="814"/>
      <c r="H136" s="814"/>
      <c r="I136" s="39"/>
    </row>
    <row r="137" spans="1:8" ht="24" customHeight="1">
      <c r="A137" s="814" t="s">
        <v>426</v>
      </c>
      <c r="B137" s="814"/>
      <c r="C137" s="814"/>
      <c r="D137" s="814"/>
      <c r="E137" s="814"/>
      <c r="F137" s="814"/>
      <c r="G137" s="814"/>
      <c r="H137" s="814"/>
    </row>
    <row r="138" spans="1:110" ht="25.5" customHeight="1">
      <c r="A138" s="814" t="s">
        <v>483</v>
      </c>
      <c r="B138" s="814"/>
      <c r="C138" s="814"/>
      <c r="D138" s="814"/>
      <c r="E138" s="814"/>
      <c r="F138" s="814"/>
      <c r="G138" s="814"/>
      <c r="H138" s="814"/>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row>
    <row r="139" ht="19.5" customHeight="1" thickBot="1">
      <c r="H139" s="2"/>
    </row>
    <row r="140" spans="1:11" ht="57" thickBot="1">
      <c r="A140" s="675" t="s">
        <v>427</v>
      </c>
      <c r="B140" s="676" t="s">
        <v>333</v>
      </c>
      <c r="C140" s="652" t="s">
        <v>2</v>
      </c>
      <c r="D140" s="653" t="s">
        <v>3</v>
      </c>
      <c r="E140" s="677" t="s">
        <v>4</v>
      </c>
      <c r="F140" s="653" t="s">
        <v>5</v>
      </c>
      <c r="G140" s="677" t="s">
        <v>334</v>
      </c>
      <c r="H140" s="652" t="s">
        <v>335</v>
      </c>
      <c r="K140" t="s">
        <v>331</v>
      </c>
    </row>
    <row r="141" spans="1:110" ht="23.25" customHeight="1">
      <c r="A141" s="679" t="s">
        <v>399</v>
      </c>
      <c r="B141" s="680"/>
      <c r="C141" s="658"/>
      <c r="D141" s="659"/>
      <c r="E141" s="681"/>
      <c r="F141" s="659"/>
      <c r="G141" s="681"/>
      <c r="H141" s="690"/>
      <c r="J141" s="336" t="s">
        <v>336</v>
      </c>
      <c r="K141" s="337">
        <v>1</v>
      </c>
      <c r="L141" s="337">
        <v>2</v>
      </c>
      <c r="M141" s="337">
        <v>3</v>
      </c>
      <c r="N141" s="337">
        <v>4</v>
      </c>
      <c r="O141" s="337">
        <v>5</v>
      </c>
      <c r="P141" s="337">
        <v>6</v>
      </c>
      <c r="Q141" s="337">
        <v>7</v>
      </c>
      <c r="R141" s="337">
        <v>8</v>
      </c>
      <c r="S141" s="337">
        <v>9</v>
      </c>
      <c r="T141" s="337">
        <v>10</v>
      </c>
      <c r="U141" s="337">
        <v>11</v>
      </c>
      <c r="V141" s="337">
        <v>12</v>
      </c>
      <c r="W141" s="337">
        <v>13</v>
      </c>
      <c r="X141" s="337">
        <v>14</v>
      </c>
      <c r="Y141" s="337">
        <v>15</v>
      </c>
      <c r="Z141" s="337">
        <v>16</v>
      </c>
      <c r="AA141" s="337">
        <v>17</v>
      </c>
      <c r="AB141" s="337">
        <v>18</v>
      </c>
      <c r="AC141" s="337">
        <v>19</v>
      </c>
      <c r="AD141" s="337">
        <v>20</v>
      </c>
      <c r="AE141" s="337">
        <v>21</v>
      </c>
      <c r="AF141" s="337">
        <v>22</v>
      </c>
      <c r="AG141" s="337">
        <v>23</v>
      </c>
      <c r="AH141" s="337">
        <v>24</v>
      </c>
      <c r="AI141" s="337">
        <v>25</v>
      </c>
      <c r="AJ141" s="337">
        <v>26</v>
      </c>
      <c r="AK141" s="337">
        <v>27</v>
      </c>
      <c r="AL141" s="337">
        <v>28</v>
      </c>
      <c r="AM141" s="337">
        <v>29</v>
      </c>
      <c r="AN141" s="337">
        <v>30</v>
      </c>
      <c r="AO141" s="337">
        <v>31</v>
      </c>
      <c r="AP141" s="337">
        <v>32</v>
      </c>
      <c r="AQ141" s="337">
        <v>33</v>
      </c>
      <c r="AR141" s="337">
        <v>34</v>
      </c>
      <c r="AS141" s="337">
        <v>35</v>
      </c>
      <c r="AT141" s="337">
        <v>36</v>
      </c>
      <c r="AU141" s="337">
        <v>37</v>
      </c>
      <c r="AV141" s="337">
        <v>38</v>
      </c>
      <c r="AW141" s="337">
        <v>39</v>
      </c>
      <c r="AX141" s="337">
        <v>40</v>
      </c>
      <c r="AY141" s="337">
        <v>41</v>
      </c>
      <c r="AZ141" s="337">
        <v>42</v>
      </c>
      <c r="BA141" s="337">
        <v>43</v>
      </c>
      <c r="BB141" s="337">
        <v>44</v>
      </c>
      <c r="BC141" s="337">
        <v>45</v>
      </c>
      <c r="BD141" s="337">
        <v>46</v>
      </c>
      <c r="BE141" s="337">
        <v>47</v>
      </c>
      <c r="BF141" s="337">
        <v>48</v>
      </c>
      <c r="BG141" s="337">
        <v>49</v>
      </c>
      <c r="BH141" s="337">
        <v>50</v>
      </c>
      <c r="BI141" s="337">
        <v>51</v>
      </c>
      <c r="BJ141" s="337">
        <v>52</v>
      </c>
      <c r="BK141" s="337">
        <v>53</v>
      </c>
      <c r="BL141" s="337">
        <v>54</v>
      </c>
      <c r="BM141" s="337">
        <v>55</v>
      </c>
      <c r="BN141" s="337">
        <v>56</v>
      </c>
      <c r="BO141" s="337">
        <v>57</v>
      </c>
      <c r="BP141" s="337">
        <v>58</v>
      </c>
      <c r="BQ141" s="337">
        <v>59</v>
      </c>
      <c r="BR141" s="337">
        <v>60</v>
      </c>
      <c r="BS141" s="337">
        <v>61</v>
      </c>
      <c r="BT141" s="337">
        <v>62</v>
      </c>
      <c r="BU141" s="337">
        <v>63</v>
      </c>
      <c r="BV141" s="337">
        <v>64</v>
      </c>
      <c r="BW141" s="337">
        <v>65</v>
      </c>
      <c r="BX141" s="337">
        <v>66</v>
      </c>
      <c r="BY141" s="337">
        <v>67</v>
      </c>
      <c r="BZ141" s="337">
        <v>68</v>
      </c>
      <c r="CA141" s="337">
        <v>69</v>
      </c>
      <c r="CB141" s="337">
        <v>70</v>
      </c>
      <c r="CC141" s="337">
        <v>71</v>
      </c>
      <c r="CD141" s="337">
        <v>72</v>
      </c>
      <c r="CE141" s="337">
        <v>73</v>
      </c>
      <c r="CF141" s="337">
        <v>74</v>
      </c>
      <c r="CG141" s="337">
        <v>75</v>
      </c>
      <c r="CH141" s="337">
        <v>76</v>
      </c>
      <c r="CI141" s="337">
        <v>77</v>
      </c>
      <c r="CJ141" s="337">
        <v>78</v>
      </c>
      <c r="CK141" s="337">
        <v>79</v>
      </c>
      <c r="CL141" s="337">
        <v>80</v>
      </c>
      <c r="CM141" s="337">
        <v>81</v>
      </c>
      <c r="CN141" s="337">
        <v>82</v>
      </c>
      <c r="CO141" s="337">
        <v>83</v>
      </c>
      <c r="CP141" s="337">
        <v>84</v>
      </c>
      <c r="CQ141" s="337">
        <v>85</v>
      </c>
      <c r="CR141" s="337">
        <v>86</v>
      </c>
      <c r="CS141" s="337">
        <v>87</v>
      </c>
      <c r="CT141" s="337">
        <v>88</v>
      </c>
      <c r="CU141" s="337">
        <v>89</v>
      </c>
      <c r="CV141" s="337">
        <v>90</v>
      </c>
      <c r="CW141" s="337">
        <v>91</v>
      </c>
      <c r="CX141" s="337">
        <v>92</v>
      </c>
      <c r="CY141" s="337">
        <v>93</v>
      </c>
      <c r="CZ141" s="337">
        <v>94</v>
      </c>
      <c r="DA141" s="337">
        <v>95</v>
      </c>
      <c r="DB141" s="337">
        <v>96</v>
      </c>
      <c r="DC141" s="337">
        <v>97</v>
      </c>
      <c r="DD141" s="337">
        <v>98</v>
      </c>
      <c r="DE141" s="337">
        <v>99</v>
      </c>
      <c r="DF141" s="337">
        <v>100</v>
      </c>
    </row>
    <row r="142" spans="1:110" ht="18" customHeight="1">
      <c r="A142" s="133" t="s">
        <v>338</v>
      </c>
      <c r="B142" s="134">
        <v>1</v>
      </c>
      <c r="C142" s="134" t="s">
        <v>17</v>
      </c>
      <c r="D142" s="134">
        <f>IF('Farm and Buffer Assumptions'!C79=1,F156*'Farm and Buffer Assumptions'!C47,0)</f>
        <v>0</v>
      </c>
      <c r="E142" s="694">
        <f>IF('Farm and Buffer Assumptions'!$C$35=1,1,0)</f>
        <v>0</v>
      </c>
      <c r="F142" s="257">
        <f aca="true" t="shared" si="39" ref="F142:F147">E142*D142</f>
        <v>0</v>
      </c>
      <c r="G142" s="258">
        <f>F142</f>
        <v>0</v>
      </c>
      <c r="H142" s="133"/>
      <c r="J142" s="137" t="s">
        <v>337</v>
      </c>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c r="CH142" s="134"/>
      <c r="CI142" s="134"/>
      <c r="CJ142" s="134"/>
      <c r="CK142" s="134"/>
      <c r="CL142" s="134"/>
      <c r="CM142" s="134"/>
      <c r="CN142" s="134"/>
      <c r="CO142" s="134"/>
      <c r="CP142" s="134"/>
      <c r="CQ142" s="134"/>
      <c r="CR142" s="134"/>
      <c r="CS142" s="134"/>
      <c r="CT142" s="134"/>
      <c r="CU142" s="134"/>
      <c r="CV142" s="134"/>
      <c r="CW142" s="134"/>
      <c r="CX142" s="134"/>
      <c r="CY142" s="134"/>
      <c r="CZ142" s="134"/>
      <c r="DA142" s="134"/>
      <c r="DB142" s="134"/>
      <c r="DC142" s="134"/>
      <c r="DD142" s="134"/>
      <c r="DE142" s="134"/>
      <c r="DF142" s="134"/>
    </row>
    <row r="143" spans="1:110" ht="18" customHeight="1">
      <c r="A143" s="133" t="s">
        <v>687</v>
      </c>
      <c r="B143" s="134">
        <f>'Farm and Buffer Assumptions'!C49</f>
        <v>5</v>
      </c>
      <c r="C143" s="134" t="s">
        <v>17</v>
      </c>
      <c r="D143" s="134">
        <f>IF('Farm and Buffer Assumptions'!C80=1,(F159)*'Farm and Buffer Assumptions'!C48,0)</f>
        <v>0</v>
      </c>
      <c r="E143" s="694">
        <f>IF('Farm and Buffer Assumptions'!$C$35=1,1,0)</f>
        <v>0</v>
      </c>
      <c r="F143" s="257">
        <f t="shared" si="39"/>
        <v>0</v>
      </c>
      <c r="G143" s="258">
        <f>-PV('Farm and Buffer Assumptions'!C29,B143,F143)</f>
        <v>0</v>
      </c>
      <c r="H143" s="133"/>
      <c r="J143" s="134" t="s">
        <v>339</v>
      </c>
      <c r="K143" s="257">
        <f>F142</f>
        <v>0</v>
      </c>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c r="CH143" s="134"/>
      <c r="CI143" s="134"/>
      <c r="CJ143" s="134"/>
      <c r="CK143" s="134"/>
      <c r="CL143" s="134"/>
      <c r="CM143" s="134"/>
      <c r="CN143" s="134"/>
      <c r="CO143" s="134"/>
      <c r="CP143" s="134"/>
      <c r="CQ143" s="134"/>
      <c r="CR143" s="134"/>
      <c r="CS143" s="134"/>
      <c r="CT143" s="134"/>
      <c r="CU143" s="134"/>
      <c r="CV143" s="134"/>
      <c r="CW143" s="134"/>
      <c r="CX143" s="134"/>
      <c r="CY143" s="134"/>
      <c r="CZ143" s="134"/>
      <c r="DA143" s="134"/>
      <c r="DB143" s="134"/>
      <c r="DC143" s="134"/>
      <c r="DD143" s="134"/>
      <c r="DE143" s="134"/>
      <c r="DF143" s="134"/>
    </row>
    <row r="144" spans="1:110" ht="18" customHeight="1">
      <c r="A144" s="133" t="s">
        <v>401</v>
      </c>
      <c r="B144" s="134">
        <v>2</v>
      </c>
      <c r="C144" s="134" t="s">
        <v>17</v>
      </c>
      <c r="D144" s="338">
        <f>IF('Farm and Buffer Assumptions'!C80=1,F160*'Farm and Buffer Assumptions'!C48,0)</f>
        <v>0</v>
      </c>
      <c r="E144" s="694">
        <f>IF('Farm and Buffer Assumptions'!$C$35=1,1,0)</f>
        <v>0</v>
      </c>
      <c r="F144" s="257">
        <f>E144*D144</f>
        <v>0</v>
      </c>
      <c r="G144" s="334">
        <f>(-PV('Farm and Buffer Assumptions'!C29,B144,F144))</f>
        <v>0</v>
      </c>
      <c r="H144" s="138"/>
      <c r="J144" s="134" t="s">
        <v>428</v>
      </c>
      <c r="K144" s="134">
        <v>0</v>
      </c>
      <c r="L144" s="257">
        <f>IF(L141=($B$143+1),$F$143,IF(L141&lt;=$B$143,$F$143,0))</f>
        <v>0</v>
      </c>
      <c r="M144" s="257">
        <f aca="true" t="shared" si="40" ref="M144:BX144">IF(M141=($B$143+1),$F$143,IF(M141&lt;=$B$143,$F$143,0))</f>
        <v>0</v>
      </c>
      <c r="N144" s="257">
        <f t="shared" si="40"/>
        <v>0</v>
      </c>
      <c r="O144" s="257">
        <f t="shared" si="40"/>
        <v>0</v>
      </c>
      <c r="P144" s="257">
        <f t="shared" si="40"/>
        <v>0</v>
      </c>
      <c r="Q144" s="257">
        <f t="shared" si="40"/>
        <v>0</v>
      </c>
      <c r="R144" s="257">
        <f t="shared" si="40"/>
        <v>0</v>
      </c>
      <c r="S144" s="257">
        <f t="shared" si="40"/>
        <v>0</v>
      </c>
      <c r="T144" s="257">
        <f t="shared" si="40"/>
        <v>0</v>
      </c>
      <c r="U144" s="257">
        <f t="shared" si="40"/>
        <v>0</v>
      </c>
      <c r="V144" s="257">
        <f t="shared" si="40"/>
        <v>0</v>
      </c>
      <c r="W144" s="257">
        <f t="shared" si="40"/>
        <v>0</v>
      </c>
      <c r="X144" s="257">
        <f t="shared" si="40"/>
        <v>0</v>
      </c>
      <c r="Y144" s="257">
        <f t="shared" si="40"/>
        <v>0</v>
      </c>
      <c r="Z144" s="257">
        <f t="shared" si="40"/>
        <v>0</v>
      </c>
      <c r="AA144" s="257">
        <f t="shared" si="40"/>
        <v>0</v>
      </c>
      <c r="AB144" s="257">
        <f t="shared" si="40"/>
        <v>0</v>
      </c>
      <c r="AC144" s="257">
        <f t="shared" si="40"/>
        <v>0</v>
      </c>
      <c r="AD144" s="257">
        <f t="shared" si="40"/>
        <v>0</v>
      </c>
      <c r="AE144" s="257">
        <f t="shared" si="40"/>
        <v>0</v>
      </c>
      <c r="AF144" s="257">
        <f t="shared" si="40"/>
        <v>0</v>
      </c>
      <c r="AG144" s="257">
        <f t="shared" si="40"/>
        <v>0</v>
      </c>
      <c r="AH144" s="257">
        <f t="shared" si="40"/>
        <v>0</v>
      </c>
      <c r="AI144" s="257">
        <f t="shared" si="40"/>
        <v>0</v>
      </c>
      <c r="AJ144" s="257">
        <f t="shared" si="40"/>
        <v>0</v>
      </c>
      <c r="AK144" s="257">
        <f t="shared" si="40"/>
        <v>0</v>
      </c>
      <c r="AL144" s="257">
        <f t="shared" si="40"/>
        <v>0</v>
      </c>
      <c r="AM144" s="257">
        <f t="shared" si="40"/>
        <v>0</v>
      </c>
      <c r="AN144" s="257">
        <f t="shared" si="40"/>
        <v>0</v>
      </c>
      <c r="AO144" s="257">
        <f t="shared" si="40"/>
        <v>0</v>
      </c>
      <c r="AP144" s="257">
        <f t="shared" si="40"/>
        <v>0</v>
      </c>
      <c r="AQ144" s="257">
        <f t="shared" si="40"/>
        <v>0</v>
      </c>
      <c r="AR144" s="257">
        <f t="shared" si="40"/>
        <v>0</v>
      </c>
      <c r="AS144" s="257">
        <f t="shared" si="40"/>
        <v>0</v>
      </c>
      <c r="AT144" s="257">
        <f t="shared" si="40"/>
        <v>0</v>
      </c>
      <c r="AU144" s="257">
        <f t="shared" si="40"/>
        <v>0</v>
      </c>
      <c r="AV144" s="257">
        <f t="shared" si="40"/>
        <v>0</v>
      </c>
      <c r="AW144" s="257">
        <f t="shared" si="40"/>
        <v>0</v>
      </c>
      <c r="AX144" s="257">
        <f t="shared" si="40"/>
        <v>0</v>
      </c>
      <c r="AY144" s="257">
        <f t="shared" si="40"/>
        <v>0</v>
      </c>
      <c r="AZ144" s="257">
        <f t="shared" si="40"/>
        <v>0</v>
      </c>
      <c r="BA144" s="257">
        <f t="shared" si="40"/>
        <v>0</v>
      </c>
      <c r="BB144" s="257">
        <f t="shared" si="40"/>
        <v>0</v>
      </c>
      <c r="BC144" s="257">
        <f t="shared" si="40"/>
        <v>0</v>
      </c>
      <c r="BD144" s="257">
        <f t="shared" si="40"/>
        <v>0</v>
      </c>
      <c r="BE144" s="257">
        <f t="shared" si="40"/>
        <v>0</v>
      </c>
      <c r="BF144" s="257">
        <f t="shared" si="40"/>
        <v>0</v>
      </c>
      <c r="BG144" s="257">
        <f t="shared" si="40"/>
        <v>0</v>
      </c>
      <c r="BH144" s="257">
        <f t="shared" si="40"/>
        <v>0</v>
      </c>
      <c r="BI144" s="257">
        <f t="shared" si="40"/>
        <v>0</v>
      </c>
      <c r="BJ144" s="257">
        <f t="shared" si="40"/>
        <v>0</v>
      </c>
      <c r="BK144" s="257">
        <f t="shared" si="40"/>
        <v>0</v>
      </c>
      <c r="BL144" s="257">
        <f t="shared" si="40"/>
        <v>0</v>
      </c>
      <c r="BM144" s="257">
        <f t="shared" si="40"/>
        <v>0</v>
      </c>
      <c r="BN144" s="257">
        <f t="shared" si="40"/>
        <v>0</v>
      </c>
      <c r="BO144" s="257">
        <f t="shared" si="40"/>
        <v>0</v>
      </c>
      <c r="BP144" s="257">
        <f t="shared" si="40"/>
        <v>0</v>
      </c>
      <c r="BQ144" s="257">
        <f t="shared" si="40"/>
        <v>0</v>
      </c>
      <c r="BR144" s="257">
        <f t="shared" si="40"/>
        <v>0</v>
      </c>
      <c r="BS144" s="257">
        <f t="shared" si="40"/>
        <v>0</v>
      </c>
      <c r="BT144" s="257">
        <f t="shared" si="40"/>
        <v>0</v>
      </c>
      <c r="BU144" s="257">
        <f t="shared" si="40"/>
        <v>0</v>
      </c>
      <c r="BV144" s="257">
        <f t="shared" si="40"/>
        <v>0</v>
      </c>
      <c r="BW144" s="257">
        <f t="shared" si="40"/>
        <v>0</v>
      </c>
      <c r="BX144" s="257">
        <f t="shared" si="40"/>
        <v>0</v>
      </c>
      <c r="BY144" s="257">
        <f aca="true" t="shared" si="41" ref="BY144:DF144">IF(BY141=($B$143+1),$F$143,IF(BY141&lt;=$B$143,$F$143,0))</f>
        <v>0</v>
      </c>
      <c r="BZ144" s="257">
        <f t="shared" si="41"/>
        <v>0</v>
      </c>
      <c r="CA144" s="257">
        <f t="shared" si="41"/>
        <v>0</v>
      </c>
      <c r="CB144" s="257">
        <f t="shared" si="41"/>
        <v>0</v>
      </c>
      <c r="CC144" s="257">
        <f t="shared" si="41"/>
        <v>0</v>
      </c>
      <c r="CD144" s="257">
        <f t="shared" si="41"/>
        <v>0</v>
      </c>
      <c r="CE144" s="257">
        <f t="shared" si="41"/>
        <v>0</v>
      </c>
      <c r="CF144" s="257">
        <f t="shared" si="41"/>
        <v>0</v>
      </c>
      <c r="CG144" s="257">
        <f t="shared" si="41"/>
        <v>0</v>
      </c>
      <c r="CH144" s="257">
        <f t="shared" si="41"/>
        <v>0</v>
      </c>
      <c r="CI144" s="257">
        <f t="shared" si="41"/>
        <v>0</v>
      </c>
      <c r="CJ144" s="257">
        <f t="shared" si="41"/>
        <v>0</v>
      </c>
      <c r="CK144" s="257">
        <f t="shared" si="41"/>
        <v>0</v>
      </c>
      <c r="CL144" s="257">
        <f t="shared" si="41"/>
        <v>0</v>
      </c>
      <c r="CM144" s="257">
        <f t="shared" si="41"/>
        <v>0</v>
      </c>
      <c r="CN144" s="257">
        <f t="shared" si="41"/>
        <v>0</v>
      </c>
      <c r="CO144" s="257">
        <f t="shared" si="41"/>
        <v>0</v>
      </c>
      <c r="CP144" s="257">
        <f t="shared" si="41"/>
        <v>0</v>
      </c>
      <c r="CQ144" s="257">
        <f t="shared" si="41"/>
        <v>0</v>
      </c>
      <c r="CR144" s="257">
        <f t="shared" si="41"/>
        <v>0</v>
      </c>
      <c r="CS144" s="257">
        <f t="shared" si="41"/>
        <v>0</v>
      </c>
      <c r="CT144" s="257">
        <f t="shared" si="41"/>
        <v>0</v>
      </c>
      <c r="CU144" s="257">
        <f t="shared" si="41"/>
        <v>0</v>
      </c>
      <c r="CV144" s="257">
        <f t="shared" si="41"/>
        <v>0</v>
      </c>
      <c r="CW144" s="257">
        <f t="shared" si="41"/>
        <v>0</v>
      </c>
      <c r="CX144" s="257">
        <f t="shared" si="41"/>
        <v>0</v>
      </c>
      <c r="CY144" s="257">
        <f t="shared" si="41"/>
        <v>0</v>
      </c>
      <c r="CZ144" s="257">
        <f t="shared" si="41"/>
        <v>0</v>
      </c>
      <c r="DA144" s="257">
        <f t="shared" si="41"/>
        <v>0</v>
      </c>
      <c r="DB144" s="257">
        <f t="shared" si="41"/>
        <v>0</v>
      </c>
      <c r="DC144" s="257">
        <f t="shared" si="41"/>
        <v>0</v>
      </c>
      <c r="DD144" s="257">
        <f t="shared" si="41"/>
        <v>0</v>
      </c>
      <c r="DE144" s="257">
        <f t="shared" si="41"/>
        <v>0</v>
      </c>
      <c r="DF144" s="257">
        <f t="shared" si="41"/>
        <v>0</v>
      </c>
    </row>
    <row r="145" spans="1:110" ht="18" customHeight="1">
      <c r="A145" s="134" t="s">
        <v>342</v>
      </c>
      <c r="B145" s="134">
        <f>'Farm and Buffer Assumptions'!C44</f>
        <v>15</v>
      </c>
      <c r="C145" s="134" t="s">
        <v>17</v>
      </c>
      <c r="D145" s="134">
        <f>IF('Farm and Buffer Assumptions'!C77=1,Prices!C24*'Farm and Buffer Assumptions'!C45,0)</f>
        <v>0</v>
      </c>
      <c r="E145" s="694">
        <f>IF('Farm and Buffer Assumptions'!$C$35=1,1,0)</f>
        <v>0</v>
      </c>
      <c r="F145" s="257">
        <f t="shared" si="39"/>
        <v>0</v>
      </c>
      <c r="G145" s="258">
        <f>-PV('Farm and Buffer Assumptions'!C29,B145,F145)</f>
        <v>0</v>
      </c>
      <c r="H145" s="133"/>
      <c r="J145" s="134" t="s">
        <v>403</v>
      </c>
      <c r="K145" s="134">
        <v>0</v>
      </c>
      <c r="L145" s="257">
        <f>F144</f>
        <v>0</v>
      </c>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row>
    <row r="146" spans="1:110" ht="18" customHeight="1">
      <c r="A146" s="134" t="s">
        <v>344</v>
      </c>
      <c r="B146" s="134">
        <v>1</v>
      </c>
      <c r="C146" s="134" t="s">
        <v>17</v>
      </c>
      <c r="D146" s="134">
        <f>IF('Farm and Buffer Assumptions'!C78=1,'Farm and Buffer Assumptions'!C46,0)</f>
        <v>0</v>
      </c>
      <c r="E146" s="694">
        <f>IF('Farm and Buffer Assumptions'!$C$35=1,1,0)</f>
        <v>0</v>
      </c>
      <c r="F146" s="257">
        <f t="shared" si="39"/>
        <v>0</v>
      </c>
      <c r="G146" s="258">
        <f>F146</f>
        <v>0</v>
      </c>
      <c r="H146" s="133"/>
      <c r="J146" s="134" t="s">
        <v>343</v>
      </c>
      <c r="K146" s="257">
        <f>IF(K141&lt;=$B$145,$F$145,0)</f>
        <v>0</v>
      </c>
      <c r="L146" s="257">
        <f aca="true" t="shared" si="42" ref="L146:BW146">IF(L141&lt;=$B$145,$F$145,0)</f>
        <v>0</v>
      </c>
      <c r="M146" s="257">
        <f t="shared" si="42"/>
        <v>0</v>
      </c>
      <c r="N146" s="257">
        <f t="shared" si="42"/>
        <v>0</v>
      </c>
      <c r="O146" s="257">
        <f t="shared" si="42"/>
        <v>0</v>
      </c>
      <c r="P146" s="257">
        <f t="shared" si="42"/>
        <v>0</v>
      </c>
      <c r="Q146" s="257">
        <f t="shared" si="42"/>
        <v>0</v>
      </c>
      <c r="R146" s="257">
        <f t="shared" si="42"/>
        <v>0</v>
      </c>
      <c r="S146" s="257">
        <f t="shared" si="42"/>
        <v>0</v>
      </c>
      <c r="T146" s="257">
        <f t="shared" si="42"/>
        <v>0</v>
      </c>
      <c r="U146" s="257">
        <f t="shared" si="42"/>
        <v>0</v>
      </c>
      <c r="V146" s="257">
        <f t="shared" si="42"/>
        <v>0</v>
      </c>
      <c r="W146" s="257">
        <f t="shared" si="42"/>
        <v>0</v>
      </c>
      <c r="X146" s="257">
        <f t="shared" si="42"/>
        <v>0</v>
      </c>
      <c r="Y146" s="257">
        <f t="shared" si="42"/>
        <v>0</v>
      </c>
      <c r="Z146" s="257">
        <f t="shared" si="42"/>
        <v>0</v>
      </c>
      <c r="AA146" s="257">
        <f t="shared" si="42"/>
        <v>0</v>
      </c>
      <c r="AB146" s="257">
        <f t="shared" si="42"/>
        <v>0</v>
      </c>
      <c r="AC146" s="257">
        <f t="shared" si="42"/>
        <v>0</v>
      </c>
      <c r="AD146" s="257">
        <f t="shared" si="42"/>
        <v>0</v>
      </c>
      <c r="AE146" s="257">
        <f t="shared" si="42"/>
        <v>0</v>
      </c>
      <c r="AF146" s="257">
        <f t="shared" si="42"/>
        <v>0</v>
      </c>
      <c r="AG146" s="257">
        <f t="shared" si="42"/>
        <v>0</v>
      </c>
      <c r="AH146" s="257">
        <f t="shared" si="42"/>
        <v>0</v>
      </c>
      <c r="AI146" s="257">
        <f t="shared" si="42"/>
        <v>0</v>
      </c>
      <c r="AJ146" s="257">
        <f t="shared" si="42"/>
        <v>0</v>
      </c>
      <c r="AK146" s="257">
        <f t="shared" si="42"/>
        <v>0</v>
      </c>
      <c r="AL146" s="257">
        <f t="shared" si="42"/>
        <v>0</v>
      </c>
      <c r="AM146" s="257">
        <f t="shared" si="42"/>
        <v>0</v>
      </c>
      <c r="AN146" s="257">
        <f t="shared" si="42"/>
        <v>0</v>
      </c>
      <c r="AO146" s="257">
        <f t="shared" si="42"/>
        <v>0</v>
      </c>
      <c r="AP146" s="257">
        <f t="shared" si="42"/>
        <v>0</v>
      </c>
      <c r="AQ146" s="257">
        <f t="shared" si="42"/>
        <v>0</v>
      </c>
      <c r="AR146" s="257">
        <f t="shared" si="42"/>
        <v>0</v>
      </c>
      <c r="AS146" s="257">
        <f t="shared" si="42"/>
        <v>0</v>
      </c>
      <c r="AT146" s="257">
        <f t="shared" si="42"/>
        <v>0</v>
      </c>
      <c r="AU146" s="257">
        <f t="shared" si="42"/>
        <v>0</v>
      </c>
      <c r="AV146" s="257">
        <f t="shared" si="42"/>
        <v>0</v>
      </c>
      <c r="AW146" s="257">
        <f t="shared" si="42"/>
        <v>0</v>
      </c>
      <c r="AX146" s="257">
        <f t="shared" si="42"/>
        <v>0</v>
      </c>
      <c r="AY146" s="257">
        <f t="shared" si="42"/>
        <v>0</v>
      </c>
      <c r="AZ146" s="257">
        <f t="shared" si="42"/>
        <v>0</v>
      </c>
      <c r="BA146" s="257">
        <f t="shared" si="42"/>
        <v>0</v>
      </c>
      <c r="BB146" s="257">
        <f t="shared" si="42"/>
        <v>0</v>
      </c>
      <c r="BC146" s="257">
        <f t="shared" si="42"/>
        <v>0</v>
      </c>
      <c r="BD146" s="257">
        <f t="shared" si="42"/>
        <v>0</v>
      </c>
      <c r="BE146" s="257">
        <f t="shared" si="42"/>
        <v>0</v>
      </c>
      <c r="BF146" s="257">
        <f t="shared" si="42"/>
        <v>0</v>
      </c>
      <c r="BG146" s="257">
        <f t="shared" si="42"/>
        <v>0</v>
      </c>
      <c r="BH146" s="257">
        <f t="shared" si="42"/>
        <v>0</v>
      </c>
      <c r="BI146" s="257">
        <f t="shared" si="42"/>
        <v>0</v>
      </c>
      <c r="BJ146" s="257">
        <f t="shared" si="42"/>
        <v>0</v>
      </c>
      <c r="BK146" s="257">
        <f t="shared" si="42"/>
        <v>0</v>
      </c>
      <c r="BL146" s="257">
        <f t="shared" si="42"/>
        <v>0</v>
      </c>
      <c r="BM146" s="257">
        <f t="shared" si="42"/>
        <v>0</v>
      </c>
      <c r="BN146" s="257">
        <f t="shared" si="42"/>
        <v>0</v>
      </c>
      <c r="BO146" s="257">
        <f t="shared" si="42"/>
        <v>0</v>
      </c>
      <c r="BP146" s="257">
        <f t="shared" si="42"/>
        <v>0</v>
      </c>
      <c r="BQ146" s="257">
        <f t="shared" si="42"/>
        <v>0</v>
      </c>
      <c r="BR146" s="257">
        <f t="shared" si="42"/>
        <v>0</v>
      </c>
      <c r="BS146" s="257">
        <f t="shared" si="42"/>
        <v>0</v>
      </c>
      <c r="BT146" s="257">
        <f t="shared" si="42"/>
        <v>0</v>
      </c>
      <c r="BU146" s="257">
        <f t="shared" si="42"/>
        <v>0</v>
      </c>
      <c r="BV146" s="257">
        <f t="shared" si="42"/>
        <v>0</v>
      </c>
      <c r="BW146" s="257">
        <f t="shared" si="42"/>
        <v>0</v>
      </c>
      <c r="BX146" s="257">
        <f aca="true" t="shared" si="43" ref="BX146:DF146">IF(BX141&lt;=$B$145,$F$145,0)</f>
        <v>0</v>
      </c>
      <c r="BY146" s="257">
        <f t="shared" si="43"/>
        <v>0</v>
      </c>
      <c r="BZ146" s="257">
        <f t="shared" si="43"/>
        <v>0</v>
      </c>
      <c r="CA146" s="257">
        <f t="shared" si="43"/>
        <v>0</v>
      </c>
      <c r="CB146" s="257">
        <f t="shared" si="43"/>
        <v>0</v>
      </c>
      <c r="CC146" s="257">
        <f t="shared" si="43"/>
        <v>0</v>
      </c>
      <c r="CD146" s="257">
        <f t="shared" si="43"/>
        <v>0</v>
      </c>
      <c r="CE146" s="257">
        <f t="shared" si="43"/>
        <v>0</v>
      </c>
      <c r="CF146" s="257">
        <f t="shared" si="43"/>
        <v>0</v>
      </c>
      <c r="CG146" s="257">
        <f t="shared" si="43"/>
        <v>0</v>
      </c>
      <c r="CH146" s="257">
        <f t="shared" si="43"/>
        <v>0</v>
      </c>
      <c r="CI146" s="257">
        <f t="shared" si="43"/>
        <v>0</v>
      </c>
      <c r="CJ146" s="257">
        <f t="shared" si="43"/>
        <v>0</v>
      </c>
      <c r="CK146" s="257">
        <f t="shared" si="43"/>
        <v>0</v>
      </c>
      <c r="CL146" s="257">
        <f t="shared" si="43"/>
        <v>0</v>
      </c>
      <c r="CM146" s="257">
        <f t="shared" si="43"/>
        <v>0</v>
      </c>
      <c r="CN146" s="257">
        <f t="shared" si="43"/>
        <v>0</v>
      </c>
      <c r="CO146" s="257">
        <f t="shared" si="43"/>
        <v>0</v>
      </c>
      <c r="CP146" s="257">
        <f t="shared" si="43"/>
        <v>0</v>
      </c>
      <c r="CQ146" s="257">
        <f t="shared" si="43"/>
        <v>0</v>
      </c>
      <c r="CR146" s="257">
        <f t="shared" si="43"/>
        <v>0</v>
      </c>
      <c r="CS146" s="257">
        <f t="shared" si="43"/>
        <v>0</v>
      </c>
      <c r="CT146" s="257">
        <f t="shared" si="43"/>
        <v>0</v>
      </c>
      <c r="CU146" s="257">
        <f t="shared" si="43"/>
        <v>0</v>
      </c>
      <c r="CV146" s="257">
        <f t="shared" si="43"/>
        <v>0</v>
      </c>
      <c r="CW146" s="257">
        <f t="shared" si="43"/>
        <v>0</v>
      </c>
      <c r="CX146" s="257">
        <f t="shared" si="43"/>
        <v>0</v>
      </c>
      <c r="CY146" s="257">
        <f t="shared" si="43"/>
        <v>0</v>
      </c>
      <c r="CZ146" s="257">
        <f t="shared" si="43"/>
        <v>0</v>
      </c>
      <c r="DA146" s="257">
        <f t="shared" si="43"/>
        <v>0</v>
      </c>
      <c r="DB146" s="257">
        <f t="shared" si="43"/>
        <v>0</v>
      </c>
      <c r="DC146" s="257">
        <f t="shared" si="43"/>
        <v>0</v>
      </c>
      <c r="DD146" s="257">
        <f t="shared" si="43"/>
        <v>0</v>
      </c>
      <c r="DE146" s="257">
        <f t="shared" si="43"/>
        <v>0</v>
      </c>
      <c r="DF146" s="257">
        <f t="shared" si="43"/>
        <v>0</v>
      </c>
    </row>
    <row r="147" spans="1:110" ht="25.5" customHeight="1">
      <c r="A147" s="134" t="s">
        <v>429</v>
      </c>
      <c r="B147" s="134">
        <v>15</v>
      </c>
      <c r="C147" s="134" t="s">
        <v>430</v>
      </c>
      <c r="D147" s="244">
        <f>Prices!B51</f>
        <v>98</v>
      </c>
      <c r="E147" s="713">
        <v>0</v>
      </c>
      <c r="F147" s="321">
        <f t="shared" si="39"/>
        <v>0</v>
      </c>
      <c r="G147" s="267">
        <f>F147/((1+'Farm and Buffer Assumptions'!C29)^B147-1)</f>
        <v>0</v>
      </c>
      <c r="H147" s="689" t="s">
        <v>626</v>
      </c>
      <c r="J147" s="134" t="s">
        <v>345</v>
      </c>
      <c r="K147" s="257">
        <f>F146</f>
        <v>0</v>
      </c>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row>
    <row r="148" spans="1:110" ht="29.25" customHeight="1">
      <c r="A148" s="134" t="s">
        <v>431</v>
      </c>
      <c r="B148" s="134">
        <v>20</v>
      </c>
      <c r="C148" s="134" t="s">
        <v>430</v>
      </c>
      <c r="D148" s="339">
        <f>Prices!B50</f>
        <v>449</v>
      </c>
      <c r="E148" s="713">
        <f>IF('Farm and Buffer Assumptions'!C35=1,'Buffer Harvest Sched'!B48,0)</f>
        <v>0</v>
      </c>
      <c r="F148" s="716" t="s">
        <v>658</v>
      </c>
      <c r="G148" s="267">
        <f>'Buffer Harvest Sched'!B55</f>
        <v>0</v>
      </c>
      <c r="H148" s="86" t="s">
        <v>646</v>
      </c>
      <c r="J148" s="133" t="s">
        <v>432</v>
      </c>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row>
    <row r="149" spans="1:110" ht="27.75" customHeight="1">
      <c r="A149" s="134" t="s">
        <v>433</v>
      </c>
      <c r="B149" s="134">
        <v>35</v>
      </c>
      <c r="C149" s="134" t="s">
        <v>430</v>
      </c>
      <c r="D149" s="257">
        <f>AVERAGE(Prices!B48:B49)</f>
        <v>338.125</v>
      </c>
      <c r="E149" s="713">
        <f>IF('Farm and Buffer Assumptions'!C35=1,'Buffer Harvest Sched'!B49,0)</f>
        <v>0</v>
      </c>
      <c r="F149" s="716" t="s">
        <v>658</v>
      </c>
      <c r="G149" s="267">
        <f>'Buffer Harvest Sched'!B56</f>
        <v>0</v>
      </c>
      <c r="H149" s="86" t="s">
        <v>647</v>
      </c>
      <c r="J149" s="133" t="s">
        <v>434</v>
      </c>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row>
    <row r="150" spans="1:110" ht="18.75" customHeight="1">
      <c r="A150" s="260" t="s">
        <v>435</v>
      </c>
      <c r="B150" s="260"/>
      <c r="C150" s="137"/>
      <c r="D150" s="137"/>
      <c r="E150" s="314"/>
      <c r="F150" s="281"/>
      <c r="G150" s="291">
        <f>SUM(G142:G149)</f>
        <v>0</v>
      </c>
      <c r="H150" s="315"/>
      <c r="J150" s="133" t="s">
        <v>436</v>
      </c>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row>
    <row r="151" spans="1:110" ht="18" customHeight="1" thickBot="1">
      <c r="A151" s="316"/>
      <c r="B151" s="54"/>
      <c r="C151" s="54"/>
      <c r="D151" s="54"/>
      <c r="E151" s="318"/>
      <c r="F151" s="319"/>
      <c r="G151" s="320"/>
      <c r="H151" s="317"/>
      <c r="J151" s="301" t="s">
        <v>437</v>
      </c>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row>
    <row r="152" spans="1:110" ht="25.5" customHeight="1" thickBot="1">
      <c r="A152" s="683" t="s">
        <v>349</v>
      </c>
      <c r="B152" s="684" t="s">
        <v>333</v>
      </c>
      <c r="C152" s="685" t="s">
        <v>2</v>
      </c>
      <c r="D152" s="686" t="s">
        <v>3</v>
      </c>
      <c r="E152" s="687" t="s">
        <v>4</v>
      </c>
      <c r="F152" s="686" t="s">
        <v>5</v>
      </c>
      <c r="G152" s="687" t="s">
        <v>334</v>
      </c>
      <c r="H152" s="688" t="s">
        <v>369</v>
      </c>
      <c r="J152" s="134" t="s">
        <v>438</v>
      </c>
      <c r="K152" s="257">
        <f>F156</f>
        <v>0</v>
      </c>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c r="CL152" s="134"/>
      <c r="CM152" s="134"/>
      <c r="CN152" s="134"/>
      <c r="CO152" s="134"/>
      <c r="CP152" s="134"/>
      <c r="CQ152" s="134"/>
      <c r="CR152" s="134"/>
      <c r="CS152" s="134"/>
      <c r="CT152" s="134"/>
      <c r="CU152" s="134"/>
      <c r="CV152" s="134"/>
      <c r="CW152" s="134"/>
      <c r="CX152" s="134"/>
      <c r="CY152" s="134"/>
      <c r="CZ152" s="134"/>
      <c r="DA152" s="134"/>
      <c r="DB152" s="134"/>
      <c r="DC152" s="134"/>
      <c r="DD152" s="134"/>
      <c r="DE152" s="134"/>
      <c r="DF152" s="134"/>
    </row>
    <row r="153" spans="1:110" ht="40.5" customHeight="1">
      <c r="A153" s="133" t="s">
        <v>405</v>
      </c>
      <c r="B153" s="133">
        <v>1</v>
      </c>
      <c r="C153" s="134" t="s">
        <v>17</v>
      </c>
      <c r="D153" s="266">
        <f>Prices!C36</f>
        <v>850</v>
      </c>
      <c r="E153" s="244">
        <f>IF('Farm and Buffer Assumptions'!$C$35=1,1,0)</f>
        <v>0</v>
      </c>
      <c r="F153" s="321">
        <f>E153*D153</f>
        <v>0</v>
      </c>
      <c r="G153" s="313">
        <f>F153</f>
        <v>0</v>
      </c>
      <c r="H153" s="317" t="s">
        <v>406</v>
      </c>
      <c r="J153" s="134" t="s">
        <v>439</v>
      </c>
      <c r="K153" s="134">
        <v>0</v>
      </c>
      <c r="L153" s="257">
        <f>F159</f>
        <v>0</v>
      </c>
      <c r="M153" s="257">
        <f>F159</f>
        <v>0</v>
      </c>
      <c r="N153" s="257">
        <f>F159</f>
        <v>0</v>
      </c>
      <c r="O153" s="257">
        <f>F159</f>
        <v>0</v>
      </c>
      <c r="P153" s="257">
        <f>F159</f>
        <v>0</v>
      </c>
      <c r="Q153" s="257">
        <f aca="true" t="shared" si="44" ref="Q153:CB153">$F$72</f>
        <v>266</v>
      </c>
      <c r="R153" s="257">
        <f t="shared" si="44"/>
        <v>266</v>
      </c>
      <c r="S153" s="257">
        <f t="shared" si="44"/>
        <v>266</v>
      </c>
      <c r="T153" s="257">
        <f t="shared" si="44"/>
        <v>266</v>
      </c>
      <c r="U153" s="257">
        <f t="shared" si="44"/>
        <v>266</v>
      </c>
      <c r="V153" s="257">
        <f t="shared" si="44"/>
        <v>266</v>
      </c>
      <c r="W153" s="257">
        <f t="shared" si="44"/>
        <v>266</v>
      </c>
      <c r="X153" s="257">
        <f t="shared" si="44"/>
        <v>266</v>
      </c>
      <c r="Y153" s="257">
        <f t="shared" si="44"/>
        <v>266</v>
      </c>
      <c r="Z153" s="257">
        <f t="shared" si="44"/>
        <v>266</v>
      </c>
      <c r="AA153" s="257">
        <f t="shared" si="44"/>
        <v>266</v>
      </c>
      <c r="AB153" s="257">
        <f t="shared" si="44"/>
        <v>266</v>
      </c>
      <c r="AC153" s="257">
        <f t="shared" si="44"/>
        <v>266</v>
      </c>
      <c r="AD153" s="257">
        <f t="shared" si="44"/>
        <v>266</v>
      </c>
      <c r="AE153" s="257">
        <f t="shared" si="44"/>
        <v>266</v>
      </c>
      <c r="AF153" s="257">
        <f t="shared" si="44"/>
        <v>266</v>
      </c>
      <c r="AG153" s="257">
        <f t="shared" si="44"/>
        <v>266</v>
      </c>
      <c r="AH153" s="257">
        <f t="shared" si="44"/>
        <v>266</v>
      </c>
      <c r="AI153" s="257">
        <f t="shared" si="44"/>
        <v>266</v>
      </c>
      <c r="AJ153" s="257">
        <f t="shared" si="44"/>
        <v>266</v>
      </c>
      <c r="AK153" s="257">
        <f t="shared" si="44"/>
        <v>266</v>
      </c>
      <c r="AL153" s="257">
        <f t="shared" si="44"/>
        <v>266</v>
      </c>
      <c r="AM153" s="257">
        <f t="shared" si="44"/>
        <v>266</v>
      </c>
      <c r="AN153" s="257">
        <f t="shared" si="44"/>
        <v>266</v>
      </c>
      <c r="AO153" s="257">
        <f t="shared" si="44"/>
        <v>266</v>
      </c>
      <c r="AP153" s="257">
        <f t="shared" si="44"/>
        <v>266</v>
      </c>
      <c r="AQ153" s="257">
        <f t="shared" si="44"/>
        <v>266</v>
      </c>
      <c r="AR153" s="257">
        <f t="shared" si="44"/>
        <v>266</v>
      </c>
      <c r="AS153" s="257">
        <f t="shared" si="44"/>
        <v>266</v>
      </c>
      <c r="AT153" s="257">
        <f t="shared" si="44"/>
        <v>266</v>
      </c>
      <c r="AU153" s="257">
        <f t="shared" si="44"/>
        <v>266</v>
      </c>
      <c r="AV153" s="257">
        <f t="shared" si="44"/>
        <v>266</v>
      </c>
      <c r="AW153" s="257">
        <f t="shared" si="44"/>
        <v>266</v>
      </c>
      <c r="AX153" s="257">
        <f t="shared" si="44"/>
        <v>266</v>
      </c>
      <c r="AY153" s="257">
        <f t="shared" si="44"/>
        <v>266</v>
      </c>
      <c r="AZ153" s="257">
        <f t="shared" si="44"/>
        <v>266</v>
      </c>
      <c r="BA153" s="257">
        <f t="shared" si="44"/>
        <v>266</v>
      </c>
      <c r="BB153" s="257">
        <f t="shared" si="44"/>
        <v>266</v>
      </c>
      <c r="BC153" s="257">
        <f t="shared" si="44"/>
        <v>266</v>
      </c>
      <c r="BD153" s="257">
        <f t="shared" si="44"/>
        <v>266</v>
      </c>
      <c r="BE153" s="257">
        <f t="shared" si="44"/>
        <v>266</v>
      </c>
      <c r="BF153" s="257">
        <f t="shared" si="44"/>
        <v>266</v>
      </c>
      <c r="BG153" s="257">
        <f t="shared" si="44"/>
        <v>266</v>
      </c>
      <c r="BH153" s="257">
        <f t="shared" si="44"/>
        <v>266</v>
      </c>
      <c r="BI153" s="257">
        <f t="shared" si="44"/>
        <v>266</v>
      </c>
      <c r="BJ153" s="257">
        <f t="shared" si="44"/>
        <v>266</v>
      </c>
      <c r="BK153" s="257">
        <f t="shared" si="44"/>
        <v>266</v>
      </c>
      <c r="BL153" s="257">
        <f t="shared" si="44"/>
        <v>266</v>
      </c>
      <c r="BM153" s="257">
        <f t="shared" si="44"/>
        <v>266</v>
      </c>
      <c r="BN153" s="257">
        <f t="shared" si="44"/>
        <v>266</v>
      </c>
      <c r="BO153" s="257">
        <f t="shared" si="44"/>
        <v>266</v>
      </c>
      <c r="BP153" s="257">
        <f t="shared" si="44"/>
        <v>266</v>
      </c>
      <c r="BQ153" s="257">
        <f t="shared" si="44"/>
        <v>266</v>
      </c>
      <c r="BR153" s="257">
        <f t="shared" si="44"/>
        <v>266</v>
      </c>
      <c r="BS153" s="257">
        <f t="shared" si="44"/>
        <v>266</v>
      </c>
      <c r="BT153" s="257">
        <f t="shared" si="44"/>
        <v>266</v>
      </c>
      <c r="BU153" s="257">
        <f t="shared" si="44"/>
        <v>266</v>
      </c>
      <c r="BV153" s="257">
        <f t="shared" si="44"/>
        <v>266</v>
      </c>
      <c r="BW153" s="257">
        <f t="shared" si="44"/>
        <v>266</v>
      </c>
      <c r="BX153" s="257">
        <f t="shared" si="44"/>
        <v>266</v>
      </c>
      <c r="BY153" s="257">
        <f t="shared" si="44"/>
        <v>266</v>
      </c>
      <c r="BZ153" s="257">
        <f t="shared" si="44"/>
        <v>266</v>
      </c>
      <c r="CA153" s="257">
        <f t="shared" si="44"/>
        <v>266</v>
      </c>
      <c r="CB153" s="257">
        <f t="shared" si="44"/>
        <v>266</v>
      </c>
      <c r="CC153" s="257">
        <f aca="true" t="shared" si="45" ref="CC153:DF153">$F$72</f>
        <v>266</v>
      </c>
      <c r="CD153" s="257">
        <f t="shared" si="45"/>
        <v>266</v>
      </c>
      <c r="CE153" s="257">
        <f t="shared" si="45"/>
        <v>266</v>
      </c>
      <c r="CF153" s="257">
        <f t="shared" si="45"/>
        <v>266</v>
      </c>
      <c r="CG153" s="257">
        <f t="shared" si="45"/>
        <v>266</v>
      </c>
      <c r="CH153" s="257">
        <f t="shared" si="45"/>
        <v>266</v>
      </c>
      <c r="CI153" s="257">
        <f t="shared" si="45"/>
        <v>266</v>
      </c>
      <c r="CJ153" s="257">
        <f t="shared" si="45"/>
        <v>266</v>
      </c>
      <c r="CK153" s="257">
        <f t="shared" si="45"/>
        <v>266</v>
      </c>
      <c r="CL153" s="257">
        <f t="shared" si="45"/>
        <v>266</v>
      </c>
      <c r="CM153" s="257">
        <f t="shared" si="45"/>
        <v>266</v>
      </c>
      <c r="CN153" s="257">
        <f t="shared" si="45"/>
        <v>266</v>
      </c>
      <c r="CO153" s="257">
        <f t="shared" si="45"/>
        <v>266</v>
      </c>
      <c r="CP153" s="257">
        <f t="shared" si="45"/>
        <v>266</v>
      </c>
      <c r="CQ153" s="257">
        <f t="shared" si="45"/>
        <v>266</v>
      </c>
      <c r="CR153" s="257">
        <f t="shared" si="45"/>
        <v>266</v>
      </c>
      <c r="CS153" s="257">
        <f t="shared" si="45"/>
        <v>266</v>
      </c>
      <c r="CT153" s="257">
        <f t="shared" si="45"/>
        <v>266</v>
      </c>
      <c r="CU153" s="257">
        <f t="shared" si="45"/>
        <v>266</v>
      </c>
      <c r="CV153" s="257">
        <f t="shared" si="45"/>
        <v>266</v>
      </c>
      <c r="CW153" s="257">
        <f t="shared" si="45"/>
        <v>266</v>
      </c>
      <c r="CX153" s="257">
        <f t="shared" si="45"/>
        <v>266</v>
      </c>
      <c r="CY153" s="257">
        <f t="shared" si="45"/>
        <v>266</v>
      </c>
      <c r="CZ153" s="257">
        <f t="shared" si="45"/>
        <v>266</v>
      </c>
      <c r="DA153" s="257">
        <f t="shared" si="45"/>
        <v>266</v>
      </c>
      <c r="DB153" s="257">
        <f t="shared" si="45"/>
        <v>266</v>
      </c>
      <c r="DC153" s="257">
        <f t="shared" si="45"/>
        <v>266</v>
      </c>
      <c r="DD153" s="257">
        <f t="shared" si="45"/>
        <v>266</v>
      </c>
      <c r="DE153" s="257">
        <f t="shared" si="45"/>
        <v>266</v>
      </c>
      <c r="DF153" s="257">
        <f t="shared" si="45"/>
        <v>266</v>
      </c>
    </row>
    <row r="154" spans="1:110" ht="63.75">
      <c r="A154" s="134" t="s">
        <v>420</v>
      </c>
      <c r="B154" s="134">
        <v>1</v>
      </c>
      <c r="C154" s="134" t="s">
        <v>17</v>
      </c>
      <c r="D154" s="266">
        <f>Prices!C33</f>
        <v>950</v>
      </c>
      <c r="E154" s="244">
        <f>IF('Farm and Buffer Assumptions'!$C$35=1,1,0)</f>
        <v>0</v>
      </c>
      <c r="F154" s="321">
        <f>E154*D154</f>
        <v>0</v>
      </c>
      <c r="G154" s="313">
        <f>F154</f>
        <v>0</v>
      </c>
      <c r="H154" s="317" t="s">
        <v>421</v>
      </c>
      <c r="J154" s="134" t="s">
        <v>440</v>
      </c>
      <c r="K154" s="134">
        <v>0</v>
      </c>
      <c r="L154" s="257">
        <f>F160</f>
        <v>0</v>
      </c>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row>
    <row r="155" spans="1:110" ht="55.5" customHeight="1">
      <c r="A155" s="134" t="s">
        <v>422</v>
      </c>
      <c r="B155" s="134">
        <v>1</v>
      </c>
      <c r="C155" s="134" t="s">
        <v>17</v>
      </c>
      <c r="D155" s="266">
        <f>Prices!C34</f>
        <v>568</v>
      </c>
      <c r="E155" s="244">
        <f>IF('Farm and Buffer Assumptions'!$C$35=1,1,0)</f>
        <v>0</v>
      </c>
      <c r="F155" s="321">
        <f>E155*D155</f>
        <v>0</v>
      </c>
      <c r="G155" s="313">
        <f>F155</f>
        <v>0</v>
      </c>
      <c r="H155" s="317" t="s">
        <v>441</v>
      </c>
      <c r="J155" s="134" t="s">
        <v>442</v>
      </c>
      <c r="K155" s="134"/>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row>
    <row r="156" spans="1:110" ht="18" customHeight="1">
      <c r="A156" s="137" t="s">
        <v>352</v>
      </c>
      <c r="B156" s="134"/>
      <c r="C156" s="134"/>
      <c r="D156" s="266"/>
      <c r="E156" s="244"/>
      <c r="F156" s="281">
        <f>SUM(F153:F155)</f>
        <v>0</v>
      </c>
      <c r="G156" s="291">
        <f>SUM(G153:G155)</f>
        <v>0</v>
      </c>
      <c r="H156" s="317"/>
      <c r="J156" s="134" t="s">
        <v>443</v>
      </c>
      <c r="K156" s="134"/>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row>
    <row r="157" spans="1:110" ht="18" customHeight="1" thickBot="1">
      <c r="A157" s="323"/>
      <c r="B157" s="278"/>
      <c r="C157" s="278"/>
      <c r="D157" s="324"/>
      <c r="E157" s="325"/>
      <c r="F157" s="325"/>
      <c r="G157" s="326"/>
      <c r="H157" s="317"/>
      <c r="J157" s="134" t="s">
        <v>444</v>
      </c>
      <c r="K157" s="134"/>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row>
    <row r="158" spans="1:110" ht="26.25" customHeight="1" thickBot="1">
      <c r="A158" s="683" t="s">
        <v>445</v>
      </c>
      <c r="B158" s="684" t="s">
        <v>333</v>
      </c>
      <c r="C158" s="685" t="s">
        <v>2</v>
      </c>
      <c r="D158" s="686" t="s">
        <v>3</v>
      </c>
      <c r="E158" s="687" t="s">
        <v>4</v>
      </c>
      <c r="F158" s="686" t="s">
        <v>5</v>
      </c>
      <c r="G158" s="687" t="s">
        <v>334</v>
      </c>
      <c r="H158" s="688"/>
      <c r="J158" s="134" t="s">
        <v>446</v>
      </c>
      <c r="K158" s="134"/>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row>
    <row r="159" spans="1:110" ht="43.5" customHeight="1">
      <c r="A159" s="134" t="s">
        <v>356</v>
      </c>
      <c r="B159" s="134">
        <v>5</v>
      </c>
      <c r="C159" s="134" t="s">
        <v>17</v>
      </c>
      <c r="D159" s="266">
        <f>Prices!C38</f>
        <v>350</v>
      </c>
      <c r="E159" s="244">
        <f>IF('Farm and Buffer Assumptions'!$C$35=1,1,0)</f>
        <v>0</v>
      </c>
      <c r="F159" s="321">
        <f>E159*D159</f>
        <v>0</v>
      </c>
      <c r="G159" s="313">
        <f>-PV('Farm and Buffer Assumptions'!C29,B159,F159)</f>
        <v>0</v>
      </c>
      <c r="H159" s="317" t="s">
        <v>412</v>
      </c>
      <c r="J159" s="134" t="s">
        <v>447</v>
      </c>
      <c r="K159" s="134"/>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row>
    <row r="160" spans="1:110" ht="18" customHeight="1">
      <c r="A160" s="134" t="s">
        <v>423</v>
      </c>
      <c r="B160" s="134">
        <v>2</v>
      </c>
      <c r="C160" s="134" t="s">
        <v>17</v>
      </c>
      <c r="D160" s="266">
        <f>D154</f>
        <v>950</v>
      </c>
      <c r="E160" s="693">
        <f>IF('Farm and Buffer Assumptions'!$C$35=1,0.1,0)</f>
        <v>0</v>
      </c>
      <c r="F160" s="321">
        <f>E160*D160</f>
        <v>0</v>
      </c>
      <c r="G160" s="313">
        <f>F160/(1+'Farm and Buffer Assumptions'!C29)^2</f>
        <v>0</v>
      </c>
      <c r="H160" s="317" t="s">
        <v>424</v>
      </c>
      <c r="J160" s="134" t="s">
        <v>448</v>
      </c>
      <c r="K160" s="134"/>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row>
    <row r="161" spans="1:110" ht="18" customHeight="1">
      <c r="A161" s="134" t="s">
        <v>449</v>
      </c>
      <c r="B161" s="695">
        <v>15</v>
      </c>
      <c r="C161" s="134" t="s">
        <v>17</v>
      </c>
      <c r="D161" s="266">
        <f>Prices!C39</f>
        <v>100</v>
      </c>
      <c r="E161" s="244">
        <f>'Farm and Buffer Assumptions'!C38</f>
        <v>0</v>
      </c>
      <c r="F161" s="321">
        <f>E161*D161</f>
        <v>0</v>
      </c>
      <c r="G161" s="258">
        <f>F161/(1+'Farm and Buffer Assumptions'!C29)^B161</f>
        <v>0</v>
      </c>
      <c r="H161" s="317"/>
      <c r="J161" s="296" t="s">
        <v>350</v>
      </c>
      <c r="K161" s="240">
        <f>SUM(K143:K150)-SUM(K152:K160)</f>
        <v>0</v>
      </c>
      <c r="L161" s="240">
        <f aca="true" t="shared" si="46" ref="L161:BW161">SUM(L143:L150)-SUM(L152:L160)</f>
        <v>0</v>
      </c>
      <c r="M161" s="240">
        <f t="shared" si="46"/>
        <v>0</v>
      </c>
      <c r="N161" s="240">
        <f t="shared" si="46"/>
        <v>0</v>
      </c>
      <c r="O161" s="240">
        <f t="shared" si="46"/>
        <v>0</v>
      </c>
      <c r="P161" s="240">
        <f t="shared" si="46"/>
        <v>0</v>
      </c>
      <c r="Q161" s="240">
        <f t="shared" si="46"/>
        <v>-266</v>
      </c>
      <c r="R161" s="240">
        <f t="shared" si="46"/>
        <v>-266</v>
      </c>
      <c r="S161" s="240">
        <f t="shared" si="46"/>
        <v>-266</v>
      </c>
      <c r="T161" s="240">
        <f t="shared" si="46"/>
        <v>-266</v>
      </c>
      <c r="U161" s="240">
        <f t="shared" si="46"/>
        <v>-266</v>
      </c>
      <c r="V161" s="240">
        <f t="shared" si="46"/>
        <v>-266</v>
      </c>
      <c r="W161" s="240">
        <f t="shared" si="46"/>
        <v>-266</v>
      </c>
      <c r="X161" s="240">
        <f t="shared" si="46"/>
        <v>-266</v>
      </c>
      <c r="Y161" s="240">
        <f t="shared" si="46"/>
        <v>-266</v>
      </c>
      <c r="Z161" s="240">
        <f t="shared" si="46"/>
        <v>-266</v>
      </c>
      <c r="AA161" s="240">
        <f t="shared" si="46"/>
        <v>-266</v>
      </c>
      <c r="AB161" s="240">
        <f t="shared" si="46"/>
        <v>-266</v>
      </c>
      <c r="AC161" s="240">
        <f t="shared" si="46"/>
        <v>-266</v>
      </c>
      <c r="AD161" s="240">
        <f t="shared" si="46"/>
        <v>-266</v>
      </c>
      <c r="AE161" s="240">
        <f t="shared" si="46"/>
        <v>-266</v>
      </c>
      <c r="AF161" s="240">
        <f t="shared" si="46"/>
        <v>-266</v>
      </c>
      <c r="AG161" s="240">
        <f t="shared" si="46"/>
        <v>-266</v>
      </c>
      <c r="AH161" s="240">
        <f t="shared" si="46"/>
        <v>-266</v>
      </c>
      <c r="AI161" s="240">
        <f t="shared" si="46"/>
        <v>-266</v>
      </c>
      <c r="AJ161" s="240">
        <f t="shared" si="46"/>
        <v>-266</v>
      </c>
      <c r="AK161" s="240">
        <f t="shared" si="46"/>
        <v>-266</v>
      </c>
      <c r="AL161" s="240">
        <f t="shared" si="46"/>
        <v>-266</v>
      </c>
      <c r="AM161" s="240">
        <f t="shared" si="46"/>
        <v>-266</v>
      </c>
      <c r="AN161" s="240">
        <f t="shared" si="46"/>
        <v>-266</v>
      </c>
      <c r="AO161" s="240">
        <f t="shared" si="46"/>
        <v>-266</v>
      </c>
      <c r="AP161" s="240">
        <f t="shared" si="46"/>
        <v>-266</v>
      </c>
      <c r="AQ161" s="240">
        <f t="shared" si="46"/>
        <v>-266</v>
      </c>
      <c r="AR161" s="240">
        <f t="shared" si="46"/>
        <v>-266</v>
      </c>
      <c r="AS161" s="240">
        <f t="shared" si="46"/>
        <v>-266</v>
      </c>
      <c r="AT161" s="240">
        <f t="shared" si="46"/>
        <v>-266</v>
      </c>
      <c r="AU161" s="240">
        <f t="shared" si="46"/>
        <v>-266</v>
      </c>
      <c r="AV161" s="240">
        <f t="shared" si="46"/>
        <v>-266</v>
      </c>
      <c r="AW161" s="240">
        <f t="shared" si="46"/>
        <v>-266</v>
      </c>
      <c r="AX161" s="240">
        <f t="shared" si="46"/>
        <v>-266</v>
      </c>
      <c r="AY161" s="240">
        <f t="shared" si="46"/>
        <v>-266</v>
      </c>
      <c r="AZ161" s="240">
        <f t="shared" si="46"/>
        <v>-266</v>
      </c>
      <c r="BA161" s="240">
        <f t="shared" si="46"/>
        <v>-266</v>
      </c>
      <c r="BB161" s="240">
        <f t="shared" si="46"/>
        <v>-266</v>
      </c>
      <c r="BC161" s="240">
        <f t="shared" si="46"/>
        <v>-266</v>
      </c>
      <c r="BD161" s="240">
        <f t="shared" si="46"/>
        <v>-266</v>
      </c>
      <c r="BE161" s="240">
        <f t="shared" si="46"/>
        <v>-266</v>
      </c>
      <c r="BF161" s="240">
        <f t="shared" si="46"/>
        <v>-266</v>
      </c>
      <c r="BG161" s="240">
        <f t="shared" si="46"/>
        <v>-266</v>
      </c>
      <c r="BH161" s="240">
        <f t="shared" si="46"/>
        <v>-266</v>
      </c>
      <c r="BI161" s="240">
        <f t="shared" si="46"/>
        <v>-266</v>
      </c>
      <c r="BJ161" s="240">
        <f t="shared" si="46"/>
        <v>-266</v>
      </c>
      <c r="BK161" s="240">
        <f t="shared" si="46"/>
        <v>-266</v>
      </c>
      <c r="BL161" s="240">
        <f t="shared" si="46"/>
        <v>-266</v>
      </c>
      <c r="BM161" s="240">
        <f t="shared" si="46"/>
        <v>-266</v>
      </c>
      <c r="BN161" s="240">
        <f t="shared" si="46"/>
        <v>-266</v>
      </c>
      <c r="BO161" s="240">
        <f t="shared" si="46"/>
        <v>-266</v>
      </c>
      <c r="BP161" s="240">
        <f t="shared" si="46"/>
        <v>-266</v>
      </c>
      <c r="BQ161" s="240">
        <f t="shared" si="46"/>
        <v>-266</v>
      </c>
      <c r="BR161" s="240">
        <f t="shared" si="46"/>
        <v>-266</v>
      </c>
      <c r="BS161" s="240">
        <f t="shared" si="46"/>
        <v>-266</v>
      </c>
      <c r="BT161" s="240">
        <f t="shared" si="46"/>
        <v>-266</v>
      </c>
      <c r="BU161" s="240">
        <f t="shared" si="46"/>
        <v>-266</v>
      </c>
      <c r="BV161" s="240">
        <f t="shared" si="46"/>
        <v>-266</v>
      </c>
      <c r="BW161" s="240">
        <f t="shared" si="46"/>
        <v>-266</v>
      </c>
      <c r="BX161" s="240">
        <f aca="true" t="shared" si="47" ref="BX161:DF161">SUM(BX143:BX150)-SUM(BX152:BX160)</f>
        <v>-266</v>
      </c>
      <c r="BY161" s="240">
        <f t="shared" si="47"/>
        <v>-266</v>
      </c>
      <c r="BZ161" s="240">
        <f t="shared" si="47"/>
        <v>-266</v>
      </c>
      <c r="CA161" s="240">
        <f t="shared" si="47"/>
        <v>-266</v>
      </c>
      <c r="CB161" s="240">
        <f t="shared" si="47"/>
        <v>-266</v>
      </c>
      <c r="CC161" s="240">
        <f t="shared" si="47"/>
        <v>-266</v>
      </c>
      <c r="CD161" s="240">
        <f t="shared" si="47"/>
        <v>-266</v>
      </c>
      <c r="CE161" s="240">
        <f t="shared" si="47"/>
        <v>-266</v>
      </c>
      <c r="CF161" s="240">
        <f t="shared" si="47"/>
        <v>-266</v>
      </c>
      <c r="CG161" s="240">
        <f t="shared" si="47"/>
        <v>-266</v>
      </c>
      <c r="CH161" s="240">
        <f t="shared" si="47"/>
        <v>-266</v>
      </c>
      <c r="CI161" s="240">
        <f t="shared" si="47"/>
        <v>-266</v>
      </c>
      <c r="CJ161" s="240">
        <f t="shared" si="47"/>
        <v>-266</v>
      </c>
      <c r="CK161" s="240">
        <f t="shared" si="47"/>
        <v>-266</v>
      </c>
      <c r="CL161" s="240">
        <f t="shared" si="47"/>
        <v>-266</v>
      </c>
      <c r="CM161" s="240">
        <f t="shared" si="47"/>
        <v>-266</v>
      </c>
      <c r="CN161" s="240">
        <f t="shared" si="47"/>
        <v>-266</v>
      </c>
      <c r="CO161" s="240">
        <f t="shared" si="47"/>
        <v>-266</v>
      </c>
      <c r="CP161" s="240">
        <f t="shared" si="47"/>
        <v>-266</v>
      </c>
      <c r="CQ161" s="240">
        <f t="shared" si="47"/>
        <v>-266</v>
      </c>
      <c r="CR161" s="240">
        <f t="shared" si="47"/>
        <v>-266</v>
      </c>
      <c r="CS161" s="240">
        <f t="shared" si="47"/>
        <v>-266</v>
      </c>
      <c r="CT161" s="240">
        <f t="shared" si="47"/>
        <v>-266</v>
      </c>
      <c r="CU161" s="240">
        <f t="shared" si="47"/>
        <v>-266</v>
      </c>
      <c r="CV161" s="240">
        <f t="shared" si="47"/>
        <v>-266</v>
      </c>
      <c r="CW161" s="240">
        <f t="shared" si="47"/>
        <v>-266</v>
      </c>
      <c r="CX161" s="240">
        <f t="shared" si="47"/>
        <v>-266</v>
      </c>
      <c r="CY161" s="240">
        <f t="shared" si="47"/>
        <v>-266</v>
      </c>
      <c r="CZ161" s="240">
        <f t="shared" si="47"/>
        <v>-266</v>
      </c>
      <c r="DA161" s="240">
        <f t="shared" si="47"/>
        <v>-266</v>
      </c>
      <c r="DB161" s="240">
        <f t="shared" si="47"/>
        <v>-266</v>
      </c>
      <c r="DC161" s="240">
        <f t="shared" si="47"/>
        <v>-266</v>
      </c>
      <c r="DD161" s="240">
        <f t="shared" si="47"/>
        <v>-266</v>
      </c>
      <c r="DE161" s="240">
        <f t="shared" si="47"/>
        <v>-266</v>
      </c>
      <c r="DF161" s="240">
        <f t="shared" si="47"/>
        <v>-266</v>
      </c>
    </row>
    <row r="162" spans="1:110" ht="18" customHeight="1">
      <c r="A162" s="134" t="s">
        <v>450</v>
      </c>
      <c r="B162" s="695"/>
      <c r="C162" s="134" t="s">
        <v>17</v>
      </c>
      <c r="D162" s="266">
        <f>Prices!C40</f>
        <v>75</v>
      </c>
      <c r="E162" s="244">
        <f>'Farm and Buffer Assumptions'!C36</f>
        <v>0</v>
      </c>
      <c r="F162" s="321">
        <f>E162*D162</f>
        <v>0</v>
      </c>
      <c r="G162" s="258">
        <f>F162/(1+'Farm and Buffer Assumptions'!C29)^B162</f>
        <v>0</v>
      </c>
      <c r="H162" s="317"/>
      <c r="J162" t="s">
        <v>372</v>
      </c>
      <c r="K162" s="268"/>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row>
    <row r="163" spans="1:17" ht="18" customHeight="1">
      <c r="A163" s="134" t="s">
        <v>451</v>
      </c>
      <c r="B163" s="695"/>
      <c r="C163" s="134" t="s">
        <v>17</v>
      </c>
      <c r="D163" s="266">
        <f>Prices!C41</f>
        <v>95</v>
      </c>
      <c r="E163" s="244">
        <f>'Farm and Buffer Assumptions'!C37</f>
        <v>0</v>
      </c>
      <c r="F163" s="321">
        <f>E163*D163</f>
        <v>0</v>
      </c>
      <c r="G163" s="258">
        <f>F163/(1+'Farm and Buffer Assumptions'!C29)^B163</f>
        <v>0</v>
      </c>
      <c r="H163" s="317"/>
      <c r="J163" s="340" t="s">
        <v>452</v>
      </c>
      <c r="K163" s="299"/>
      <c r="L163" s="275"/>
      <c r="M163" s="274" t="s">
        <v>374</v>
      </c>
      <c r="N163" s="275"/>
      <c r="O163" s="275"/>
      <c r="P163" s="299"/>
      <c r="Q163" s="275"/>
    </row>
    <row r="164" spans="1:14" ht="18" customHeight="1">
      <c r="A164" s="134" t="s">
        <v>660</v>
      </c>
      <c r="B164" s="695" t="s">
        <v>659</v>
      </c>
      <c r="C164" s="134" t="s">
        <v>11</v>
      </c>
      <c r="D164" s="266">
        <f>Prices!C42</f>
        <v>25</v>
      </c>
      <c r="E164" s="257">
        <f>IF('Farm and Buffer Assumptions'!C35=1,'Buffer Harvest Sched'!B61+'Buffer Harvest Sched'!B62,0)</f>
        <v>0</v>
      </c>
      <c r="F164" s="716" t="s">
        <v>658</v>
      </c>
      <c r="G164" s="258">
        <f>'Buffer Harvest Sched'!B66</f>
        <v>0</v>
      </c>
      <c r="H164" s="317"/>
      <c r="J164" s="56" t="s">
        <v>472</v>
      </c>
      <c r="K164" s="341">
        <f>NPV('Farm and Buffer Assumptions'!C29,K161:AD161)</f>
        <v>-2220.6184038668744</v>
      </c>
      <c r="M164" s="282">
        <f>K143</f>
        <v>0</v>
      </c>
      <c r="N164" s="283" t="s">
        <v>338</v>
      </c>
    </row>
    <row r="165" spans="1:15" ht="18" customHeight="1">
      <c r="A165" s="134" t="s">
        <v>661</v>
      </c>
      <c r="B165" s="695" t="s">
        <v>659</v>
      </c>
      <c r="C165" s="134" t="s">
        <v>11</v>
      </c>
      <c r="D165" s="266">
        <f>Prices!C44</f>
        <v>5.74</v>
      </c>
      <c r="E165" s="717">
        <f>E164</f>
        <v>0</v>
      </c>
      <c r="F165" s="716" t="s">
        <v>658</v>
      </c>
      <c r="G165" s="258">
        <f>'Buffer Harvest Sched'!B67</f>
        <v>0</v>
      </c>
      <c r="H165" s="317"/>
      <c r="J165" s="56" t="s">
        <v>473</v>
      </c>
      <c r="K165" s="281">
        <f>NPV('Farm and Buffer Assumptions'!C29,K161:AN161)</f>
        <v>-3205.27245408222</v>
      </c>
      <c r="M165" s="284">
        <f>NPV('Farm and Buffer Assumptions'!C29,K144:P144)</f>
        <v>0</v>
      </c>
      <c r="N165" s="54" t="s">
        <v>355</v>
      </c>
      <c r="O165" s="2"/>
    </row>
    <row r="166" spans="1:25" ht="18" customHeight="1">
      <c r="A166" s="137" t="s">
        <v>453</v>
      </c>
      <c r="B166" s="134"/>
      <c r="C166" s="134"/>
      <c r="D166" s="266"/>
      <c r="E166" s="244"/>
      <c r="F166" s="281"/>
      <c r="G166" s="291">
        <f>SUM(G159:G165)</f>
        <v>0</v>
      </c>
      <c r="H166" s="317"/>
      <c r="J166" s="56" t="s">
        <v>474</v>
      </c>
      <c r="K166" s="281">
        <f>NPV('Farm and Buffer Assumptions'!C29,K161:AX161)</f>
        <v>-3870.4694490969073</v>
      </c>
      <c r="L166" s="2"/>
      <c r="M166" s="284">
        <f>NPV('Farm and Buffer Assumptions'!C29,K145:L145)</f>
        <v>0</v>
      </c>
      <c r="N166" s="283" t="s">
        <v>401</v>
      </c>
      <c r="P166" s="2"/>
      <c r="Q166" s="2"/>
      <c r="R166" s="2"/>
      <c r="S166" s="2"/>
      <c r="T166" s="2"/>
      <c r="U166" s="2"/>
      <c r="V166" s="2"/>
      <c r="W166" s="2"/>
      <c r="X166" s="2"/>
      <c r="Y166" s="2"/>
    </row>
    <row r="167" spans="1:25" ht="18" customHeight="1">
      <c r="A167" s="323"/>
      <c r="B167" s="278"/>
      <c r="C167" s="278"/>
      <c r="D167" s="324"/>
      <c r="E167" s="325"/>
      <c r="F167" s="327"/>
      <c r="G167" s="328"/>
      <c r="H167" s="317"/>
      <c r="J167" s="56"/>
      <c r="K167" s="281"/>
      <c r="L167" s="2"/>
      <c r="M167" s="284"/>
      <c r="N167" s="283"/>
      <c r="P167" s="2"/>
      <c r="Q167" s="2"/>
      <c r="R167" s="2"/>
      <c r="S167" s="2"/>
      <c r="T167" s="2"/>
      <c r="U167" s="2"/>
      <c r="V167" s="2"/>
      <c r="W167" s="2"/>
      <c r="X167" s="2"/>
      <c r="Y167" s="2"/>
    </row>
    <row r="168" spans="1:14" ht="18" customHeight="1">
      <c r="A168" s="260" t="s">
        <v>361</v>
      </c>
      <c r="B168" s="260"/>
      <c r="C168" s="260"/>
      <c r="D168" s="289"/>
      <c r="E168" s="290"/>
      <c r="F168" s="329"/>
      <c r="G168" s="330">
        <f>G156+G166</f>
        <v>0</v>
      </c>
      <c r="H168" s="331"/>
      <c r="J168" s="56" t="s">
        <v>475</v>
      </c>
      <c r="K168" s="281">
        <f>NPV('Farm and Buffer Assumptions'!C29,K161:BH161)</f>
        <v>-4319.852704139424</v>
      </c>
      <c r="M168" s="285">
        <f>NPV('Farm and Buffer Assumptions'!C29,K146:Y146)</f>
        <v>0</v>
      </c>
      <c r="N168" s="283" t="s">
        <v>342</v>
      </c>
    </row>
    <row r="169" spans="1:14" ht="21.75" customHeight="1">
      <c r="A169" s="323"/>
      <c r="B169" s="278"/>
      <c r="C169" s="278"/>
      <c r="D169" s="278"/>
      <c r="E169" s="325"/>
      <c r="F169" s="279"/>
      <c r="G169" s="326"/>
      <c r="H169" s="277"/>
      <c r="J169" s="56" t="s">
        <v>476</v>
      </c>
      <c r="K169" s="281">
        <f>NPV('Farm and Buffer Assumptions'!C29,K161:BR161)</f>
        <v>-4623.439929316452</v>
      </c>
      <c r="M169" s="284">
        <f>K147</f>
        <v>0</v>
      </c>
      <c r="N169" s="283" t="s">
        <v>344</v>
      </c>
    </row>
    <row r="170" spans="1:14" ht="24.75" customHeight="1">
      <c r="A170" s="719" t="s">
        <v>363</v>
      </c>
      <c r="B170" s="719"/>
      <c r="C170" s="719"/>
      <c r="D170" s="719"/>
      <c r="E170" s="720"/>
      <c r="F170" s="721"/>
      <c r="G170" s="721">
        <f>G150-G168</f>
        <v>0</v>
      </c>
      <c r="H170" s="722"/>
      <c r="J170" s="56" t="s">
        <v>477</v>
      </c>
      <c r="K170" s="281">
        <f>NPV('Farm and Buffer Assumptions'!C29,K161:CB161)</f>
        <v>-4828.532580759302</v>
      </c>
      <c r="M170" s="284">
        <f>NPV('Farm and Buffer Assumptions'!C29,K148:DF148)</f>
        <v>0</v>
      </c>
      <c r="N170" s="283" t="s">
        <v>432</v>
      </c>
    </row>
    <row r="171" spans="1:14" ht="37.5" customHeight="1">
      <c r="A171" s="794" t="s">
        <v>488</v>
      </c>
      <c r="B171" s="795"/>
      <c r="C171" s="795"/>
      <c r="D171" s="795"/>
      <c r="E171" s="795"/>
      <c r="F171" s="795"/>
      <c r="G171" s="795"/>
      <c r="H171" s="795"/>
      <c r="J171" s="56" t="s">
        <v>478</v>
      </c>
      <c r="K171" s="281">
        <f>NPV('Farm and Buffer Assumptions'!C29,K161:CL161)</f>
        <v>-4967.0858273635695</v>
      </c>
      <c r="M171" s="284">
        <f>NPV('Farm and Buffer Assumptions'!C29,K149:DF149)</f>
        <v>0</v>
      </c>
      <c r="N171" s="283" t="s">
        <v>434</v>
      </c>
    </row>
    <row r="172" spans="1:17" ht="30" customHeight="1">
      <c r="A172" s="821" t="s">
        <v>417</v>
      </c>
      <c r="B172" s="814"/>
      <c r="C172" s="814"/>
      <c r="D172" s="814"/>
      <c r="E172" s="814"/>
      <c r="F172" s="814"/>
      <c r="G172" s="814"/>
      <c r="H172" s="814"/>
      <c r="J172" s="56" t="s">
        <v>479</v>
      </c>
      <c r="K172" s="281">
        <f>NPV('Farm and Buffer Assumptions'!C29,K161:CV161)</f>
        <v>-5060.687436243899</v>
      </c>
      <c r="M172" s="342">
        <f>NPV('Farm and Buffer Assumptions'!C29,K150:DF150)</f>
        <v>0</v>
      </c>
      <c r="N172" s="343" t="s">
        <v>436</v>
      </c>
      <c r="O172" s="275"/>
      <c r="P172" s="275"/>
      <c r="Q172" s="275"/>
    </row>
    <row r="173" spans="1:14" ht="28.5" customHeight="1">
      <c r="A173" s="820" t="s">
        <v>367</v>
      </c>
      <c r="B173" s="814"/>
      <c r="C173" s="814"/>
      <c r="D173" s="814"/>
      <c r="E173" s="814"/>
      <c r="F173" s="814"/>
      <c r="G173" s="814"/>
      <c r="H173" s="814"/>
      <c r="J173" s="56" t="s">
        <v>480</v>
      </c>
      <c r="K173" s="281">
        <f>NPV('Farm and Buffer Assumptions'!C29,K161:DF161)</f>
        <v>-5123.921329347894</v>
      </c>
      <c r="M173" s="284">
        <f>NPV('Farm and Buffer Assumptions'!C29,K153:P153)</f>
        <v>0</v>
      </c>
      <c r="N173" t="s">
        <v>415</v>
      </c>
    </row>
    <row r="174" spans="1:14" ht="25.5" customHeight="1">
      <c r="A174" s="814" t="s">
        <v>426</v>
      </c>
      <c r="B174" s="814"/>
      <c r="C174" s="814"/>
      <c r="D174" s="814"/>
      <c r="E174" s="814"/>
      <c r="F174" s="814"/>
      <c r="G174" s="814"/>
      <c r="H174" s="814"/>
      <c r="M174" s="284">
        <f>NPV('Farm and Buffer Assumptions'!C29,K154:P154)</f>
        <v>0</v>
      </c>
      <c r="N174" t="s">
        <v>416</v>
      </c>
    </row>
    <row r="175" spans="1:16" ht="24" customHeight="1">
      <c r="A175" s="814" t="s">
        <v>483</v>
      </c>
      <c r="B175" s="814"/>
      <c r="C175" s="814"/>
      <c r="D175" s="814"/>
      <c r="E175" s="814"/>
      <c r="F175" s="814"/>
      <c r="G175" s="814"/>
      <c r="H175" s="814"/>
      <c r="M175" s="284">
        <f>NPV('Farm and Buffer Assumptions'!C29,K155:P155)</f>
        <v>0</v>
      </c>
      <c r="N175" s="54" t="s">
        <v>442</v>
      </c>
      <c r="P175" s="54"/>
    </row>
    <row r="176" spans="7:16" ht="28.5" customHeight="1" thickBot="1">
      <c r="G176" s="235"/>
      <c r="H176" s="2"/>
      <c r="M176" s="284">
        <f>NPV('Farm and Buffer Assumptions'!C29,K156:P156)</f>
        <v>0</v>
      </c>
      <c r="N176" s="54" t="s">
        <v>443</v>
      </c>
      <c r="P176" s="54"/>
    </row>
    <row r="177" spans="1:14" ht="35.25" customHeight="1" thickBot="1">
      <c r="A177" s="651" t="s">
        <v>454</v>
      </c>
      <c r="B177" s="652" t="s">
        <v>333</v>
      </c>
      <c r="C177" s="652" t="s">
        <v>2</v>
      </c>
      <c r="D177" s="653" t="s">
        <v>3</v>
      </c>
      <c r="E177" s="653" t="s">
        <v>4</v>
      </c>
      <c r="F177" s="653" t="s">
        <v>5</v>
      </c>
      <c r="G177" s="653" t="s">
        <v>334</v>
      </c>
      <c r="H177" s="652" t="s">
        <v>335</v>
      </c>
      <c r="I177" s="2"/>
      <c r="M177" s="284">
        <f>NPV('Farm and Buffer Assumptions'!C29,K157:P157)</f>
        <v>0</v>
      </c>
      <c r="N177" s="54" t="s">
        <v>444</v>
      </c>
    </row>
    <row r="178" spans="1:14" ht="36" customHeight="1">
      <c r="A178" s="657" t="s">
        <v>399</v>
      </c>
      <c r="B178" s="658"/>
      <c r="C178" s="658"/>
      <c r="D178" s="659"/>
      <c r="E178" s="659"/>
      <c r="F178" s="659"/>
      <c r="G178" s="659"/>
      <c r="H178" s="762"/>
      <c r="I178" s="2"/>
      <c r="M178" s="284">
        <f>NPV('Farm and Buffer Assumptions'!C29,K158:P158)</f>
        <v>0</v>
      </c>
      <c r="N178" s="54" t="s">
        <v>446</v>
      </c>
    </row>
    <row r="179" spans="1:14" ht="18" customHeight="1">
      <c r="A179" s="133" t="s">
        <v>338</v>
      </c>
      <c r="B179" s="133">
        <v>1</v>
      </c>
      <c r="C179" s="133" t="s">
        <v>17</v>
      </c>
      <c r="D179" s="133">
        <f>IF('Farm and Buffer Assumptions'!C84=1,F191*'Farm and Buffer Assumptions'!C47,0)</f>
        <v>0</v>
      </c>
      <c r="E179" s="204">
        <v>1</v>
      </c>
      <c r="F179" s="203">
        <f>E179*D179</f>
        <v>0</v>
      </c>
      <c r="G179" s="295">
        <f>F179</f>
        <v>0</v>
      </c>
      <c r="H179" s="317"/>
      <c r="I179" s="2"/>
      <c r="M179" s="284">
        <f>NPV('Farm and Buffer Assumptions'!C29,K159:P159)</f>
        <v>0</v>
      </c>
      <c r="N179" s="54" t="s">
        <v>447</v>
      </c>
    </row>
    <row r="180" spans="1:14" ht="44.25" customHeight="1">
      <c r="A180" s="133" t="s">
        <v>340</v>
      </c>
      <c r="B180" s="133">
        <f>'Farm and Buffer Assumptions'!C50</f>
        <v>5</v>
      </c>
      <c r="C180" s="133" t="s">
        <v>17</v>
      </c>
      <c r="D180" s="133">
        <f>IF('Farm and Buffer Assumptions'!C85=1,F198*'Farm and Buffer Assumptions'!C48,0)</f>
        <v>0</v>
      </c>
      <c r="E180" s="204">
        <v>1</v>
      </c>
      <c r="F180" s="203">
        <f>E180*D180</f>
        <v>0</v>
      </c>
      <c r="G180" s="295">
        <f>PV('Farm and Buffer Assumptions'!C29,B180,-F180)</f>
        <v>0</v>
      </c>
      <c r="H180" s="317"/>
      <c r="I180" s="2"/>
      <c r="M180" s="284">
        <f>NPV('Farm and Buffer Assumptions'!C29,K160:P160)</f>
        <v>0</v>
      </c>
      <c r="N180" s="54" t="s">
        <v>448</v>
      </c>
    </row>
    <row r="181" spans="1:14" ht="18" customHeight="1">
      <c r="A181" s="133" t="s">
        <v>342</v>
      </c>
      <c r="B181" s="133">
        <f>'Farm and Buffer Assumptions'!C44</f>
        <v>15</v>
      </c>
      <c r="C181" s="133" t="s">
        <v>17</v>
      </c>
      <c r="D181" s="133">
        <f>IF('Farm and Buffer Assumptions'!C82=1,Prices!C24*'Farm and Buffer Assumptions'!C45,0)</f>
        <v>0</v>
      </c>
      <c r="E181" s="204">
        <v>1</v>
      </c>
      <c r="F181" s="203">
        <f>E181*D181</f>
        <v>0</v>
      </c>
      <c r="G181" s="295">
        <f>-PV('Farm and Buffer Assumptions'!C29,B181,F181)</f>
        <v>0</v>
      </c>
      <c r="H181" s="317"/>
      <c r="I181" s="2"/>
      <c r="M181" s="292">
        <f>SUM(M164:M172)-SUM(M173:M180)</f>
        <v>0</v>
      </c>
      <c r="N181" t="s">
        <v>364</v>
      </c>
    </row>
    <row r="182" spans="1:9" ht="18" customHeight="1">
      <c r="A182" s="133" t="s">
        <v>344</v>
      </c>
      <c r="B182" s="133">
        <v>1</v>
      </c>
      <c r="C182" s="133" t="s">
        <v>17</v>
      </c>
      <c r="D182" s="133">
        <f>IF('Farm and Buffer Assumptions'!C83=1,'Farm and Buffer Assumptions'!C46,0)</f>
        <v>0</v>
      </c>
      <c r="E182" s="204">
        <v>1</v>
      </c>
      <c r="F182" s="203">
        <f>E182*D182</f>
        <v>0</v>
      </c>
      <c r="G182" s="295">
        <f>F182</f>
        <v>0</v>
      </c>
      <c r="H182" s="317"/>
      <c r="I182" s="2"/>
    </row>
    <row r="183" spans="1:14" ht="18" customHeight="1">
      <c r="A183" s="133" t="s">
        <v>455</v>
      </c>
      <c r="B183" s="133" t="s">
        <v>357</v>
      </c>
      <c r="C183" s="133" t="s">
        <v>11</v>
      </c>
      <c r="D183" s="204">
        <f>Prices!C6</f>
        <v>28.5</v>
      </c>
      <c r="E183" s="204">
        <f>'Farm and Buffer Assumptions'!C4</f>
        <v>13</v>
      </c>
      <c r="F183" s="203">
        <f>E183*D183</f>
        <v>370.5</v>
      </c>
      <c r="G183" s="298">
        <f>F183/'Farm and Buffer Assumptions'!C29</f>
        <v>9262.5</v>
      </c>
      <c r="H183" s="317"/>
      <c r="I183" s="2"/>
      <c r="M183" s="2"/>
      <c r="N183" s="2"/>
    </row>
    <row r="184" spans="1:9" ht="18" customHeight="1">
      <c r="A184" s="300" t="s">
        <v>381</v>
      </c>
      <c r="B184" s="300"/>
      <c r="C184" s="301"/>
      <c r="D184" s="301"/>
      <c r="E184" s="301"/>
      <c r="F184" s="302">
        <f>SUM(F179:F183)</f>
        <v>370.5</v>
      </c>
      <c r="G184" s="303">
        <f>SUM(G179:G183)</f>
        <v>9262.5</v>
      </c>
      <c r="H184" s="315"/>
      <c r="I184" s="2"/>
    </row>
    <row r="185" spans="1:9" ht="18" customHeight="1">
      <c r="A185" s="2"/>
      <c r="B185" s="2"/>
      <c r="C185" s="2"/>
      <c r="D185" s="2"/>
      <c r="E185" s="2"/>
      <c r="F185" s="3"/>
      <c r="G185" s="304"/>
      <c r="H185" s="317"/>
      <c r="I185" s="2"/>
    </row>
    <row r="186" spans="1:9" ht="18.75" customHeight="1">
      <c r="A186" s="654" t="s">
        <v>383</v>
      </c>
      <c r="B186" s="654"/>
      <c r="C186" s="655"/>
      <c r="D186" s="655"/>
      <c r="E186" s="655"/>
      <c r="F186" s="656"/>
      <c r="G186" s="656"/>
      <c r="H186" s="688"/>
      <c r="I186" s="2"/>
    </row>
    <row r="187" spans="1:9" ht="18.75" customHeight="1">
      <c r="A187" s="133" t="s">
        <v>370</v>
      </c>
      <c r="B187" s="133">
        <v>1</v>
      </c>
      <c r="C187" s="133" t="s">
        <v>17</v>
      </c>
      <c r="D187" s="297">
        <f>Prices!C36</f>
        <v>850</v>
      </c>
      <c r="E187" s="204">
        <v>1</v>
      </c>
      <c r="F187" s="203">
        <f>E187*D187</f>
        <v>850</v>
      </c>
      <c r="G187" s="298">
        <f>F187</f>
        <v>850</v>
      </c>
      <c r="H187" s="317" t="s">
        <v>371</v>
      </c>
      <c r="I187" s="2"/>
    </row>
    <row r="188" spans="1:9" ht="26.25" customHeight="1">
      <c r="A188" s="133" t="s">
        <v>384</v>
      </c>
      <c r="B188" s="133"/>
      <c r="C188" s="133" t="s">
        <v>17</v>
      </c>
      <c r="D188" s="664">
        <f>Prices!C32</f>
        <v>30</v>
      </c>
      <c r="E188" s="204">
        <v>1</v>
      </c>
      <c r="F188" s="203">
        <f>E188*D188</f>
        <v>30</v>
      </c>
      <c r="G188" s="298">
        <f>F188</f>
        <v>30</v>
      </c>
      <c r="H188" s="317"/>
      <c r="I188" s="2"/>
    </row>
    <row r="189" spans="1:9" ht="18.75" customHeight="1">
      <c r="A189" s="133" t="s">
        <v>180</v>
      </c>
      <c r="B189" s="133"/>
      <c r="C189" s="133" t="s">
        <v>17</v>
      </c>
      <c r="D189" s="297">
        <f>Prices!C30</f>
        <v>39</v>
      </c>
      <c r="E189" s="204">
        <v>1</v>
      </c>
      <c r="F189" s="203">
        <f>E189*D189</f>
        <v>39</v>
      </c>
      <c r="G189" s="298">
        <f>F189</f>
        <v>39</v>
      </c>
      <c r="H189" s="317"/>
      <c r="I189" s="2"/>
    </row>
    <row r="190" spans="1:11" ht="18" customHeight="1">
      <c r="A190" s="276" t="s">
        <v>385</v>
      </c>
      <c r="B190" s="133"/>
      <c r="C190" s="133" t="s">
        <v>17</v>
      </c>
      <c r="D190" s="744">
        <v>190</v>
      </c>
      <c r="E190" s="204">
        <v>1</v>
      </c>
      <c r="F190" s="203">
        <f>E190*D190</f>
        <v>190</v>
      </c>
      <c r="G190" s="298">
        <f>F190</f>
        <v>190</v>
      </c>
      <c r="H190" s="317" t="s">
        <v>456</v>
      </c>
      <c r="I190" s="2"/>
      <c r="K190" t="s">
        <v>331</v>
      </c>
    </row>
    <row r="191" spans="1:110" ht="18" customHeight="1">
      <c r="A191" s="269" t="s">
        <v>352</v>
      </c>
      <c r="B191" s="270"/>
      <c r="C191" s="270"/>
      <c r="D191" s="305"/>
      <c r="E191" s="270"/>
      <c r="F191" s="305">
        <f>SUM(F187:F190)</f>
        <v>1109</v>
      </c>
      <c r="G191" s="306">
        <f>SUM(G187:G190)</f>
        <v>1109</v>
      </c>
      <c r="H191" s="315"/>
      <c r="I191" s="2"/>
      <c r="J191" s="256" t="s">
        <v>336</v>
      </c>
      <c r="K191" s="134">
        <v>1</v>
      </c>
      <c r="L191" s="134">
        <v>2</v>
      </c>
      <c r="M191" s="134">
        <v>3</v>
      </c>
      <c r="N191" s="134">
        <v>4</v>
      </c>
      <c r="O191" s="134">
        <v>5</v>
      </c>
      <c r="P191" s="134">
        <v>6</v>
      </c>
      <c r="Q191" s="134">
        <v>7</v>
      </c>
      <c r="R191" s="134">
        <v>8</v>
      </c>
      <c r="S191" s="134">
        <v>9</v>
      </c>
      <c r="T191" s="134">
        <v>10</v>
      </c>
      <c r="U191" s="134">
        <v>11</v>
      </c>
      <c r="V191" s="134">
        <v>12</v>
      </c>
      <c r="W191" s="134">
        <v>13</v>
      </c>
      <c r="X191" s="134">
        <v>14</v>
      </c>
      <c r="Y191" s="134">
        <v>15</v>
      </c>
      <c r="Z191" s="132">
        <v>16</v>
      </c>
      <c r="AA191" s="132">
        <v>17</v>
      </c>
      <c r="AB191" s="132">
        <v>18</v>
      </c>
      <c r="AC191" s="132">
        <v>19</v>
      </c>
      <c r="AD191" s="132">
        <v>20</v>
      </c>
      <c r="AE191" s="132">
        <v>21</v>
      </c>
      <c r="AF191" s="132">
        <v>22</v>
      </c>
      <c r="AG191" s="132">
        <v>23</v>
      </c>
      <c r="AH191" s="132">
        <v>24</v>
      </c>
      <c r="AI191" s="132">
        <v>25</v>
      </c>
      <c r="AJ191" s="132">
        <v>26</v>
      </c>
      <c r="AK191" s="132">
        <v>27</v>
      </c>
      <c r="AL191" s="132">
        <v>28</v>
      </c>
      <c r="AM191" s="132">
        <v>29</v>
      </c>
      <c r="AN191" s="132">
        <v>30</v>
      </c>
      <c r="AO191" s="132">
        <v>31</v>
      </c>
      <c r="AP191" s="132">
        <v>32</v>
      </c>
      <c r="AQ191" s="132">
        <v>33</v>
      </c>
      <c r="AR191" s="132">
        <v>34</v>
      </c>
      <c r="AS191" s="132">
        <v>35</v>
      </c>
      <c r="AT191" s="132">
        <v>36</v>
      </c>
      <c r="AU191" s="132">
        <v>37</v>
      </c>
      <c r="AV191" s="132">
        <v>38</v>
      </c>
      <c r="AW191" s="132">
        <v>39</v>
      </c>
      <c r="AX191" s="132">
        <v>40</v>
      </c>
      <c r="AY191" s="132">
        <v>41</v>
      </c>
      <c r="AZ191" s="132">
        <v>42</v>
      </c>
      <c r="BA191" s="132">
        <v>43</v>
      </c>
      <c r="BB191" s="132">
        <v>44</v>
      </c>
      <c r="BC191" s="132">
        <v>45</v>
      </c>
      <c r="BD191" s="132">
        <v>46</v>
      </c>
      <c r="BE191" s="132">
        <v>47</v>
      </c>
      <c r="BF191" s="132">
        <v>48</v>
      </c>
      <c r="BG191" s="132">
        <v>49</v>
      </c>
      <c r="BH191" s="132">
        <v>50</v>
      </c>
      <c r="BI191" s="132">
        <v>51</v>
      </c>
      <c r="BJ191" s="132">
        <v>52</v>
      </c>
      <c r="BK191" s="132">
        <v>53</v>
      </c>
      <c r="BL191" s="132">
        <v>54</v>
      </c>
      <c r="BM191" s="132">
        <v>55</v>
      </c>
      <c r="BN191" s="132">
        <v>56</v>
      </c>
      <c r="BO191" s="132">
        <v>57</v>
      </c>
      <c r="BP191" s="132">
        <v>58</v>
      </c>
      <c r="BQ191" s="132">
        <v>59</v>
      </c>
      <c r="BR191" s="132">
        <v>60</v>
      </c>
      <c r="BS191" s="132">
        <v>61</v>
      </c>
      <c r="BT191" s="132">
        <v>62</v>
      </c>
      <c r="BU191" s="132">
        <v>63</v>
      </c>
      <c r="BV191" s="132">
        <v>64</v>
      </c>
      <c r="BW191" s="132">
        <v>65</v>
      </c>
      <c r="BX191" s="132">
        <v>66</v>
      </c>
      <c r="BY191" s="132">
        <v>67</v>
      </c>
      <c r="BZ191" s="132">
        <v>68</v>
      </c>
      <c r="CA191" s="132">
        <v>69</v>
      </c>
      <c r="CB191" s="132">
        <v>70</v>
      </c>
      <c r="CC191" s="132">
        <v>71</v>
      </c>
      <c r="CD191" s="132">
        <v>72</v>
      </c>
      <c r="CE191" s="132">
        <v>73</v>
      </c>
      <c r="CF191" s="132">
        <v>74</v>
      </c>
      <c r="CG191" s="132">
        <v>75</v>
      </c>
      <c r="CH191" s="132">
        <v>76</v>
      </c>
      <c r="CI191" s="132">
        <v>77</v>
      </c>
      <c r="CJ191" s="132">
        <v>78</v>
      </c>
      <c r="CK191" s="132">
        <v>79</v>
      </c>
      <c r="CL191" s="132">
        <v>80</v>
      </c>
      <c r="CM191" s="132">
        <v>81</v>
      </c>
      <c r="CN191" s="132">
        <v>82</v>
      </c>
      <c r="CO191" s="132">
        <v>83</v>
      </c>
      <c r="CP191" s="132">
        <v>84</v>
      </c>
      <c r="CQ191" s="132">
        <v>85</v>
      </c>
      <c r="CR191" s="132">
        <v>86</v>
      </c>
      <c r="CS191" s="132">
        <v>87</v>
      </c>
      <c r="CT191" s="132">
        <v>88</v>
      </c>
      <c r="CU191" s="132">
        <v>89</v>
      </c>
      <c r="CV191" s="132">
        <v>90</v>
      </c>
      <c r="CW191" s="132">
        <v>91</v>
      </c>
      <c r="CX191" s="132">
        <v>92</v>
      </c>
      <c r="CY191" s="132">
        <v>93</v>
      </c>
      <c r="CZ191" s="132">
        <v>94</v>
      </c>
      <c r="DA191" s="132">
        <v>95</v>
      </c>
      <c r="DB191" s="132">
        <v>96</v>
      </c>
      <c r="DC191" s="132">
        <v>97</v>
      </c>
      <c r="DD191" s="132">
        <v>98</v>
      </c>
      <c r="DE191" s="132">
        <v>99</v>
      </c>
      <c r="DF191" s="132">
        <v>100</v>
      </c>
    </row>
    <row r="192" spans="1:110" ht="18" customHeight="1">
      <c r="A192" s="276"/>
      <c r="B192" s="277"/>
      <c r="C192" s="277"/>
      <c r="D192" s="277"/>
      <c r="E192" s="277"/>
      <c r="F192" s="307"/>
      <c r="G192" s="308"/>
      <c r="H192" s="317"/>
      <c r="I192" s="2"/>
      <c r="J192" s="133" t="s">
        <v>337</v>
      </c>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row>
    <row r="193" spans="1:110" ht="27" customHeight="1">
      <c r="A193" s="654" t="s">
        <v>388</v>
      </c>
      <c r="B193" s="654"/>
      <c r="C193" s="655"/>
      <c r="D193" s="655"/>
      <c r="E193" s="655"/>
      <c r="F193" s="656"/>
      <c r="G193" s="656"/>
      <c r="H193" s="688"/>
      <c r="I193" s="2"/>
      <c r="J193" s="133" t="s">
        <v>339</v>
      </c>
      <c r="K193" s="203">
        <f>F179</f>
        <v>0</v>
      </c>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row>
    <row r="194" spans="1:110" ht="28.5" customHeight="1">
      <c r="A194" s="133" t="s">
        <v>385</v>
      </c>
      <c r="B194" s="133"/>
      <c r="C194" s="133" t="s">
        <v>17</v>
      </c>
      <c r="D194" s="664">
        <f>'Farm and Buffer Assumptions'!C33*Prices!C31</f>
        <v>16</v>
      </c>
      <c r="E194" s="204">
        <v>1</v>
      </c>
      <c r="F194" s="203">
        <f>D194*E194</f>
        <v>16</v>
      </c>
      <c r="G194" s="298">
        <f>F194/'Farm and Buffer Assumptions'!C29</f>
        <v>400</v>
      </c>
      <c r="H194" s="317" t="s">
        <v>457</v>
      </c>
      <c r="I194" s="2"/>
      <c r="J194" s="133" t="s">
        <v>341</v>
      </c>
      <c r="K194" s="133">
        <v>0</v>
      </c>
      <c r="L194" s="203">
        <f aca="true" t="shared" si="48" ref="L194:BW194">IF(L191=($B$180+1),$F$180,IF(L191&lt;=$B$180,$F$180,0))</f>
        <v>0</v>
      </c>
      <c r="M194" s="203">
        <f t="shared" si="48"/>
        <v>0</v>
      </c>
      <c r="N194" s="203">
        <f t="shared" si="48"/>
        <v>0</v>
      </c>
      <c r="O194" s="203">
        <f t="shared" si="48"/>
        <v>0</v>
      </c>
      <c r="P194" s="203">
        <f t="shared" si="48"/>
        <v>0</v>
      </c>
      <c r="Q194" s="203">
        <f t="shared" si="48"/>
        <v>0</v>
      </c>
      <c r="R194" s="203">
        <f t="shared" si="48"/>
        <v>0</v>
      </c>
      <c r="S194" s="203">
        <f t="shared" si="48"/>
        <v>0</v>
      </c>
      <c r="T194" s="203">
        <f t="shared" si="48"/>
        <v>0</v>
      </c>
      <c r="U194" s="203">
        <f t="shared" si="48"/>
        <v>0</v>
      </c>
      <c r="V194" s="203">
        <f t="shared" si="48"/>
        <v>0</v>
      </c>
      <c r="W194" s="203">
        <f t="shared" si="48"/>
        <v>0</v>
      </c>
      <c r="X194" s="203">
        <f t="shared" si="48"/>
        <v>0</v>
      </c>
      <c r="Y194" s="203">
        <f t="shared" si="48"/>
        <v>0</v>
      </c>
      <c r="Z194" s="203">
        <f t="shared" si="48"/>
        <v>0</v>
      </c>
      <c r="AA194" s="203">
        <f t="shared" si="48"/>
        <v>0</v>
      </c>
      <c r="AB194" s="203">
        <f t="shared" si="48"/>
        <v>0</v>
      </c>
      <c r="AC194" s="203">
        <f t="shared" si="48"/>
        <v>0</v>
      </c>
      <c r="AD194" s="203">
        <f t="shared" si="48"/>
        <v>0</v>
      </c>
      <c r="AE194" s="203">
        <f t="shared" si="48"/>
        <v>0</v>
      </c>
      <c r="AF194" s="203">
        <f t="shared" si="48"/>
        <v>0</v>
      </c>
      <c r="AG194" s="203">
        <f t="shared" si="48"/>
        <v>0</v>
      </c>
      <c r="AH194" s="203">
        <f t="shared" si="48"/>
        <v>0</v>
      </c>
      <c r="AI194" s="203">
        <f t="shared" si="48"/>
        <v>0</v>
      </c>
      <c r="AJ194" s="203">
        <f t="shared" si="48"/>
        <v>0</v>
      </c>
      <c r="AK194" s="203">
        <f t="shared" si="48"/>
        <v>0</v>
      </c>
      <c r="AL194" s="203">
        <f t="shared" si="48"/>
        <v>0</v>
      </c>
      <c r="AM194" s="203">
        <f t="shared" si="48"/>
        <v>0</v>
      </c>
      <c r="AN194" s="203">
        <f t="shared" si="48"/>
        <v>0</v>
      </c>
      <c r="AO194" s="203">
        <f t="shared" si="48"/>
        <v>0</v>
      </c>
      <c r="AP194" s="203">
        <f t="shared" si="48"/>
        <v>0</v>
      </c>
      <c r="AQ194" s="203">
        <f t="shared" si="48"/>
        <v>0</v>
      </c>
      <c r="AR194" s="203">
        <f t="shared" si="48"/>
        <v>0</v>
      </c>
      <c r="AS194" s="203">
        <f t="shared" si="48"/>
        <v>0</v>
      </c>
      <c r="AT194" s="203">
        <f t="shared" si="48"/>
        <v>0</v>
      </c>
      <c r="AU194" s="203">
        <f t="shared" si="48"/>
        <v>0</v>
      </c>
      <c r="AV194" s="203">
        <f t="shared" si="48"/>
        <v>0</v>
      </c>
      <c r="AW194" s="203">
        <f t="shared" si="48"/>
        <v>0</v>
      </c>
      <c r="AX194" s="203">
        <f t="shared" si="48"/>
        <v>0</v>
      </c>
      <c r="AY194" s="203">
        <f t="shared" si="48"/>
        <v>0</v>
      </c>
      <c r="AZ194" s="203">
        <f t="shared" si="48"/>
        <v>0</v>
      </c>
      <c r="BA194" s="203">
        <f t="shared" si="48"/>
        <v>0</v>
      </c>
      <c r="BB194" s="203">
        <f t="shared" si="48"/>
        <v>0</v>
      </c>
      <c r="BC194" s="203">
        <f t="shared" si="48"/>
        <v>0</v>
      </c>
      <c r="BD194" s="203">
        <f t="shared" si="48"/>
        <v>0</v>
      </c>
      <c r="BE194" s="203">
        <f t="shared" si="48"/>
        <v>0</v>
      </c>
      <c r="BF194" s="203">
        <f t="shared" si="48"/>
        <v>0</v>
      </c>
      <c r="BG194" s="203">
        <f t="shared" si="48"/>
        <v>0</v>
      </c>
      <c r="BH194" s="203">
        <f t="shared" si="48"/>
        <v>0</v>
      </c>
      <c r="BI194" s="203">
        <f t="shared" si="48"/>
        <v>0</v>
      </c>
      <c r="BJ194" s="203">
        <f t="shared" si="48"/>
        <v>0</v>
      </c>
      <c r="BK194" s="203">
        <f t="shared" si="48"/>
        <v>0</v>
      </c>
      <c r="BL194" s="203">
        <f t="shared" si="48"/>
        <v>0</v>
      </c>
      <c r="BM194" s="203">
        <f t="shared" si="48"/>
        <v>0</v>
      </c>
      <c r="BN194" s="203">
        <f t="shared" si="48"/>
        <v>0</v>
      </c>
      <c r="BO194" s="203">
        <f t="shared" si="48"/>
        <v>0</v>
      </c>
      <c r="BP194" s="203">
        <f t="shared" si="48"/>
        <v>0</v>
      </c>
      <c r="BQ194" s="203">
        <f t="shared" si="48"/>
        <v>0</v>
      </c>
      <c r="BR194" s="203">
        <f t="shared" si="48"/>
        <v>0</v>
      </c>
      <c r="BS194" s="203">
        <f t="shared" si="48"/>
        <v>0</v>
      </c>
      <c r="BT194" s="203">
        <f t="shared" si="48"/>
        <v>0</v>
      </c>
      <c r="BU194" s="203">
        <f t="shared" si="48"/>
        <v>0</v>
      </c>
      <c r="BV194" s="203">
        <f t="shared" si="48"/>
        <v>0</v>
      </c>
      <c r="BW194" s="203">
        <f t="shared" si="48"/>
        <v>0</v>
      </c>
      <c r="BX194" s="203">
        <f aca="true" t="shared" si="49" ref="BX194:DF194">IF(BX191=($B$180+1),$F$180,IF(BX191&lt;=$B$180,$F$180,0))</f>
        <v>0</v>
      </c>
      <c r="BY194" s="203">
        <f t="shared" si="49"/>
        <v>0</v>
      </c>
      <c r="BZ194" s="203">
        <f t="shared" si="49"/>
        <v>0</v>
      </c>
      <c r="CA194" s="203">
        <f t="shared" si="49"/>
        <v>0</v>
      </c>
      <c r="CB194" s="203">
        <f t="shared" si="49"/>
        <v>0</v>
      </c>
      <c r="CC194" s="203">
        <f t="shared" si="49"/>
        <v>0</v>
      </c>
      <c r="CD194" s="203">
        <f t="shared" si="49"/>
        <v>0</v>
      </c>
      <c r="CE194" s="203">
        <f t="shared" si="49"/>
        <v>0</v>
      </c>
      <c r="CF194" s="203">
        <f t="shared" si="49"/>
        <v>0</v>
      </c>
      <c r="CG194" s="203">
        <f t="shared" si="49"/>
        <v>0</v>
      </c>
      <c r="CH194" s="203">
        <f t="shared" si="49"/>
        <v>0</v>
      </c>
      <c r="CI194" s="203">
        <f t="shared" si="49"/>
        <v>0</v>
      </c>
      <c r="CJ194" s="203">
        <f t="shared" si="49"/>
        <v>0</v>
      </c>
      <c r="CK194" s="203">
        <f t="shared" si="49"/>
        <v>0</v>
      </c>
      <c r="CL194" s="203">
        <f t="shared" si="49"/>
        <v>0</v>
      </c>
      <c r="CM194" s="203">
        <f t="shared" si="49"/>
        <v>0</v>
      </c>
      <c r="CN194" s="203">
        <f t="shared" si="49"/>
        <v>0</v>
      </c>
      <c r="CO194" s="203">
        <f t="shared" si="49"/>
        <v>0</v>
      </c>
      <c r="CP194" s="203">
        <f t="shared" si="49"/>
        <v>0</v>
      </c>
      <c r="CQ194" s="203">
        <f t="shared" si="49"/>
        <v>0</v>
      </c>
      <c r="CR194" s="203">
        <f t="shared" si="49"/>
        <v>0</v>
      </c>
      <c r="CS194" s="203">
        <f t="shared" si="49"/>
        <v>0</v>
      </c>
      <c r="CT194" s="203">
        <f t="shared" si="49"/>
        <v>0</v>
      </c>
      <c r="CU194" s="203">
        <f t="shared" si="49"/>
        <v>0</v>
      </c>
      <c r="CV194" s="203">
        <f t="shared" si="49"/>
        <v>0</v>
      </c>
      <c r="CW194" s="203">
        <f t="shared" si="49"/>
        <v>0</v>
      </c>
      <c r="CX194" s="203">
        <f t="shared" si="49"/>
        <v>0</v>
      </c>
      <c r="CY194" s="203">
        <f t="shared" si="49"/>
        <v>0</v>
      </c>
      <c r="CZ194" s="203">
        <f t="shared" si="49"/>
        <v>0</v>
      </c>
      <c r="DA194" s="203">
        <f t="shared" si="49"/>
        <v>0</v>
      </c>
      <c r="DB194" s="203">
        <f t="shared" si="49"/>
        <v>0</v>
      </c>
      <c r="DC194" s="203">
        <f t="shared" si="49"/>
        <v>0</v>
      </c>
      <c r="DD194" s="203">
        <f t="shared" si="49"/>
        <v>0</v>
      </c>
      <c r="DE194" s="203">
        <f t="shared" si="49"/>
        <v>0</v>
      </c>
      <c r="DF194" s="203">
        <f t="shared" si="49"/>
        <v>0</v>
      </c>
    </row>
    <row r="195" spans="1:110" ht="30" customHeight="1">
      <c r="A195" s="133" t="s">
        <v>391</v>
      </c>
      <c r="B195" s="133"/>
      <c r="C195" s="133" t="s">
        <v>17</v>
      </c>
      <c r="D195" s="297">
        <f>Prices!C43</f>
        <v>170</v>
      </c>
      <c r="E195" s="204">
        <v>1</v>
      </c>
      <c r="F195" s="203">
        <f>E195*D195</f>
        <v>170</v>
      </c>
      <c r="G195" s="298">
        <f>F195/'Farm and Buffer Assumptions'!$C$29</f>
        <v>4250</v>
      </c>
      <c r="H195" s="317" t="s">
        <v>459</v>
      </c>
      <c r="I195" s="2"/>
      <c r="J195" s="133" t="s">
        <v>343</v>
      </c>
      <c r="K195" s="203">
        <f aca="true" t="shared" si="50" ref="K195:BV195">IF(K191&lt;=$B$181,$F$181,0)</f>
        <v>0</v>
      </c>
      <c r="L195" s="203">
        <f t="shared" si="50"/>
        <v>0</v>
      </c>
      <c r="M195" s="203">
        <f t="shared" si="50"/>
        <v>0</v>
      </c>
      <c r="N195" s="203">
        <f t="shared" si="50"/>
        <v>0</v>
      </c>
      <c r="O195" s="203">
        <f t="shared" si="50"/>
        <v>0</v>
      </c>
      <c r="P195" s="203">
        <f t="shared" si="50"/>
        <v>0</v>
      </c>
      <c r="Q195" s="203">
        <f t="shared" si="50"/>
        <v>0</v>
      </c>
      <c r="R195" s="203">
        <f t="shared" si="50"/>
        <v>0</v>
      </c>
      <c r="S195" s="203">
        <f t="shared" si="50"/>
        <v>0</v>
      </c>
      <c r="T195" s="203">
        <f t="shared" si="50"/>
        <v>0</v>
      </c>
      <c r="U195" s="203">
        <f t="shared" si="50"/>
        <v>0</v>
      </c>
      <c r="V195" s="203">
        <f t="shared" si="50"/>
        <v>0</v>
      </c>
      <c r="W195" s="203">
        <f t="shared" si="50"/>
        <v>0</v>
      </c>
      <c r="X195" s="203">
        <f t="shared" si="50"/>
        <v>0</v>
      </c>
      <c r="Y195" s="203">
        <f t="shared" si="50"/>
        <v>0</v>
      </c>
      <c r="Z195" s="203">
        <f t="shared" si="50"/>
        <v>0</v>
      </c>
      <c r="AA195" s="203">
        <f t="shared" si="50"/>
        <v>0</v>
      </c>
      <c r="AB195" s="203">
        <f t="shared" si="50"/>
        <v>0</v>
      </c>
      <c r="AC195" s="203">
        <f t="shared" si="50"/>
        <v>0</v>
      </c>
      <c r="AD195" s="203">
        <f t="shared" si="50"/>
        <v>0</v>
      </c>
      <c r="AE195" s="203">
        <f t="shared" si="50"/>
        <v>0</v>
      </c>
      <c r="AF195" s="203">
        <f t="shared" si="50"/>
        <v>0</v>
      </c>
      <c r="AG195" s="203">
        <f t="shared" si="50"/>
        <v>0</v>
      </c>
      <c r="AH195" s="203">
        <f t="shared" si="50"/>
        <v>0</v>
      </c>
      <c r="AI195" s="203">
        <f t="shared" si="50"/>
        <v>0</v>
      </c>
      <c r="AJ195" s="203">
        <f t="shared" si="50"/>
        <v>0</v>
      </c>
      <c r="AK195" s="203">
        <f t="shared" si="50"/>
        <v>0</v>
      </c>
      <c r="AL195" s="203">
        <f t="shared" si="50"/>
        <v>0</v>
      </c>
      <c r="AM195" s="203">
        <f t="shared" si="50"/>
        <v>0</v>
      </c>
      <c r="AN195" s="203">
        <f t="shared" si="50"/>
        <v>0</v>
      </c>
      <c r="AO195" s="203">
        <f t="shared" si="50"/>
        <v>0</v>
      </c>
      <c r="AP195" s="203">
        <f t="shared" si="50"/>
        <v>0</v>
      </c>
      <c r="AQ195" s="203">
        <f t="shared" si="50"/>
        <v>0</v>
      </c>
      <c r="AR195" s="203">
        <f t="shared" si="50"/>
        <v>0</v>
      </c>
      <c r="AS195" s="203">
        <f t="shared" si="50"/>
        <v>0</v>
      </c>
      <c r="AT195" s="203">
        <f t="shared" si="50"/>
        <v>0</v>
      </c>
      <c r="AU195" s="203">
        <f t="shared" si="50"/>
        <v>0</v>
      </c>
      <c r="AV195" s="203">
        <f t="shared" si="50"/>
        <v>0</v>
      </c>
      <c r="AW195" s="203">
        <f t="shared" si="50"/>
        <v>0</v>
      </c>
      <c r="AX195" s="203">
        <f t="shared" si="50"/>
        <v>0</v>
      </c>
      <c r="AY195" s="203">
        <f t="shared" si="50"/>
        <v>0</v>
      </c>
      <c r="AZ195" s="203">
        <f t="shared" si="50"/>
        <v>0</v>
      </c>
      <c r="BA195" s="203">
        <f t="shared" si="50"/>
        <v>0</v>
      </c>
      <c r="BB195" s="203">
        <f t="shared" si="50"/>
        <v>0</v>
      </c>
      <c r="BC195" s="203">
        <f t="shared" si="50"/>
        <v>0</v>
      </c>
      <c r="BD195" s="203">
        <f t="shared" si="50"/>
        <v>0</v>
      </c>
      <c r="BE195" s="203">
        <f t="shared" si="50"/>
        <v>0</v>
      </c>
      <c r="BF195" s="203">
        <f t="shared" si="50"/>
        <v>0</v>
      </c>
      <c r="BG195" s="203">
        <f t="shared" si="50"/>
        <v>0</v>
      </c>
      <c r="BH195" s="203">
        <f t="shared" si="50"/>
        <v>0</v>
      </c>
      <c r="BI195" s="203">
        <f t="shared" si="50"/>
        <v>0</v>
      </c>
      <c r="BJ195" s="203">
        <f t="shared" si="50"/>
        <v>0</v>
      </c>
      <c r="BK195" s="203">
        <f t="shared" si="50"/>
        <v>0</v>
      </c>
      <c r="BL195" s="203">
        <f t="shared" si="50"/>
        <v>0</v>
      </c>
      <c r="BM195" s="203">
        <f t="shared" si="50"/>
        <v>0</v>
      </c>
      <c r="BN195" s="203">
        <f t="shared" si="50"/>
        <v>0</v>
      </c>
      <c r="BO195" s="203">
        <f t="shared" si="50"/>
        <v>0</v>
      </c>
      <c r="BP195" s="203">
        <f t="shared" si="50"/>
        <v>0</v>
      </c>
      <c r="BQ195" s="203">
        <f t="shared" si="50"/>
        <v>0</v>
      </c>
      <c r="BR195" s="203">
        <f t="shared" si="50"/>
        <v>0</v>
      </c>
      <c r="BS195" s="203">
        <f t="shared" si="50"/>
        <v>0</v>
      </c>
      <c r="BT195" s="203">
        <f t="shared" si="50"/>
        <v>0</v>
      </c>
      <c r="BU195" s="203">
        <f t="shared" si="50"/>
        <v>0</v>
      </c>
      <c r="BV195" s="203">
        <f t="shared" si="50"/>
        <v>0</v>
      </c>
      <c r="BW195" s="203">
        <f aca="true" t="shared" si="51" ref="BW195:DF195">IF(BW191&lt;=$B$181,$F$181,0)</f>
        <v>0</v>
      </c>
      <c r="BX195" s="203">
        <f t="shared" si="51"/>
        <v>0</v>
      </c>
      <c r="BY195" s="203">
        <f t="shared" si="51"/>
        <v>0</v>
      </c>
      <c r="BZ195" s="203">
        <f t="shared" si="51"/>
        <v>0</v>
      </c>
      <c r="CA195" s="203">
        <f t="shared" si="51"/>
        <v>0</v>
      </c>
      <c r="CB195" s="203">
        <f t="shared" si="51"/>
        <v>0</v>
      </c>
      <c r="CC195" s="203">
        <f t="shared" si="51"/>
        <v>0</v>
      </c>
      <c r="CD195" s="203">
        <f t="shared" si="51"/>
        <v>0</v>
      </c>
      <c r="CE195" s="203">
        <f t="shared" si="51"/>
        <v>0</v>
      </c>
      <c r="CF195" s="203">
        <f t="shared" si="51"/>
        <v>0</v>
      </c>
      <c r="CG195" s="203">
        <f t="shared" si="51"/>
        <v>0</v>
      </c>
      <c r="CH195" s="203">
        <f t="shared" si="51"/>
        <v>0</v>
      </c>
      <c r="CI195" s="203">
        <f t="shared" si="51"/>
        <v>0</v>
      </c>
      <c r="CJ195" s="203">
        <f t="shared" si="51"/>
        <v>0</v>
      </c>
      <c r="CK195" s="203">
        <f t="shared" si="51"/>
        <v>0</v>
      </c>
      <c r="CL195" s="203">
        <f t="shared" si="51"/>
        <v>0</v>
      </c>
      <c r="CM195" s="203">
        <f t="shared" si="51"/>
        <v>0</v>
      </c>
      <c r="CN195" s="203">
        <f t="shared" si="51"/>
        <v>0</v>
      </c>
      <c r="CO195" s="203">
        <f t="shared" si="51"/>
        <v>0</v>
      </c>
      <c r="CP195" s="203">
        <f t="shared" si="51"/>
        <v>0</v>
      </c>
      <c r="CQ195" s="203">
        <f t="shared" si="51"/>
        <v>0</v>
      </c>
      <c r="CR195" s="203">
        <f t="shared" si="51"/>
        <v>0</v>
      </c>
      <c r="CS195" s="203">
        <f t="shared" si="51"/>
        <v>0</v>
      </c>
      <c r="CT195" s="203">
        <f t="shared" si="51"/>
        <v>0</v>
      </c>
      <c r="CU195" s="203">
        <f t="shared" si="51"/>
        <v>0</v>
      </c>
      <c r="CV195" s="203">
        <f t="shared" si="51"/>
        <v>0</v>
      </c>
      <c r="CW195" s="203">
        <f t="shared" si="51"/>
        <v>0</v>
      </c>
      <c r="CX195" s="203">
        <f t="shared" si="51"/>
        <v>0</v>
      </c>
      <c r="CY195" s="203">
        <f t="shared" si="51"/>
        <v>0</v>
      </c>
      <c r="CZ195" s="203">
        <f t="shared" si="51"/>
        <v>0</v>
      </c>
      <c r="DA195" s="203">
        <f t="shared" si="51"/>
        <v>0</v>
      </c>
      <c r="DB195" s="203">
        <f t="shared" si="51"/>
        <v>0</v>
      </c>
      <c r="DC195" s="203">
        <f t="shared" si="51"/>
        <v>0</v>
      </c>
      <c r="DD195" s="203">
        <f t="shared" si="51"/>
        <v>0</v>
      </c>
      <c r="DE195" s="203">
        <f t="shared" si="51"/>
        <v>0</v>
      </c>
      <c r="DF195" s="203">
        <f t="shared" si="51"/>
        <v>0</v>
      </c>
    </row>
    <row r="196" spans="1:110" ht="29.25" customHeight="1">
      <c r="A196" s="133" t="s">
        <v>384</v>
      </c>
      <c r="B196" s="133"/>
      <c r="C196" s="133" t="s">
        <v>17</v>
      </c>
      <c r="D196" s="664">
        <f>Prices!C32</f>
        <v>30</v>
      </c>
      <c r="E196" s="204">
        <v>1</v>
      </c>
      <c r="F196" s="665">
        <f>E196*D196</f>
        <v>30</v>
      </c>
      <c r="G196" s="298">
        <f>(F196/((1+'Farm and Buffer Assumptions'!C29)^'Farm and Buffer Assumptions'!C32-1))</f>
        <v>176.61753402360154</v>
      </c>
      <c r="H196" s="317" t="s">
        <v>460</v>
      </c>
      <c r="I196" s="2"/>
      <c r="J196" s="133" t="s">
        <v>345</v>
      </c>
      <c r="K196" s="203">
        <f>F182</f>
        <v>0</v>
      </c>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row>
    <row r="197" spans="1:110" ht="33" customHeight="1">
      <c r="A197" s="133" t="s">
        <v>180</v>
      </c>
      <c r="B197" s="133"/>
      <c r="C197" s="133" t="s">
        <v>17</v>
      </c>
      <c r="D197" s="297">
        <f>Prices!C30</f>
        <v>39</v>
      </c>
      <c r="E197" s="204">
        <v>1</v>
      </c>
      <c r="F197" s="665">
        <f>E197*D197</f>
        <v>39</v>
      </c>
      <c r="G197" s="298">
        <f>(F197/((1+'Farm and Buffer Assumptions'!C29)^'Farm and Buffer Assumptions'!C32-1))</f>
        <v>229.60279423068198</v>
      </c>
      <c r="H197" s="317" t="s">
        <v>462</v>
      </c>
      <c r="I197" s="2"/>
      <c r="J197" s="133" t="s">
        <v>458</v>
      </c>
      <c r="K197" s="203">
        <f aca="true" t="shared" si="52" ref="K197:AP197">$F$183</f>
        <v>370.5</v>
      </c>
      <c r="L197" s="203">
        <f t="shared" si="52"/>
        <v>370.5</v>
      </c>
      <c r="M197" s="203">
        <f t="shared" si="52"/>
        <v>370.5</v>
      </c>
      <c r="N197" s="203">
        <f t="shared" si="52"/>
        <v>370.5</v>
      </c>
      <c r="O197" s="203">
        <f t="shared" si="52"/>
        <v>370.5</v>
      </c>
      <c r="P197" s="203">
        <f t="shared" si="52"/>
        <v>370.5</v>
      </c>
      <c r="Q197" s="203">
        <f t="shared" si="52"/>
        <v>370.5</v>
      </c>
      <c r="R197" s="203">
        <f t="shared" si="52"/>
        <v>370.5</v>
      </c>
      <c r="S197" s="203">
        <f t="shared" si="52"/>
        <v>370.5</v>
      </c>
      <c r="T197" s="203">
        <f t="shared" si="52"/>
        <v>370.5</v>
      </c>
      <c r="U197" s="203">
        <f t="shared" si="52"/>
        <v>370.5</v>
      </c>
      <c r="V197" s="203">
        <f t="shared" si="52"/>
        <v>370.5</v>
      </c>
      <c r="W197" s="203">
        <f t="shared" si="52"/>
        <v>370.5</v>
      </c>
      <c r="X197" s="203">
        <f t="shared" si="52"/>
        <v>370.5</v>
      </c>
      <c r="Y197" s="203">
        <f t="shared" si="52"/>
        <v>370.5</v>
      </c>
      <c r="Z197" s="203">
        <f t="shared" si="52"/>
        <v>370.5</v>
      </c>
      <c r="AA197" s="203">
        <f t="shared" si="52"/>
        <v>370.5</v>
      </c>
      <c r="AB197" s="203">
        <f t="shared" si="52"/>
        <v>370.5</v>
      </c>
      <c r="AC197" s="203">
        <f t="shared" si="52"/>
        <v>370.5</v>
      </c>
      <c r="AD197" s="203">
        <f t="shared" si="52"/>
        <v>370.5</v>
      </c>
      <c r="AE197" s="203">
        <f t="shared" si="52"/>
        <v>370.5</v>
      </c>
      <c r="AF197" s="203">
        <f t="shared" si="52"/>
        <v>370.5</v>
      </c>
      <c r="AG197" s="203">
        <f t="shared" si="52"/>
        <v>370.5</v>
      </c>
      <c r="AH197" s="203">
        <f t="shared" si="52"/>
        <v>370.5</v>
      </c>
      <c r="AI197" s="203">
        <f t="shared" si="52"/>
        <v>370.5</v>
      </c>
      <c r="AJ197" s="203">
        <f t="shared" si="52"/>
        <v>370.5</v>
      </c>
      <c r="AK197" s="203">
        <f t="shared" si="52"/>
        <v>370.5</v>
      </c>
      <c r="AL197" s="203">
        <f t="shared" si="52"/>
        <v>370.5</v>
      </c>
      <c r="AM197" s="203">
        <f t="shared" si="52"/>
        <v>370.5</v>
      </c>
      <c r="AN197" s="203">
        <f t="shared" si="52"/>
        <v>370.5</v>
      </c>
      <c r="AO197" s="203">
        <f t="shared" si="52"/>
        <v>370.5</v>
      </c>
      <c r="AP197" s="203">
        <f t="shared" si="52"/>
        <v>370.5</v>
      </c>
      <c r="AQ197" s="203">
        <f aca="true" t="shared" si="53" ref="AQ197:BV197">$F$183</f>
        <v>370.5</v>
      </c>
      <c r="AR197" s="203">
        <f t="shared" si="53"/>
        <v>370.5</v>
      </c>
      <c r="AS197" s="203">
        <f t="shared" si="53"/>
        <v>370.5</v>
      </c>
      <c r="AT197" s="203">
        <f t="shared" si="53"/>
        <v>370.5</v>
      </c>
      <c r="AU197" s="203">
        <f t="shared" si="53"/>
        <v>370.5</v>
      </c>
      <c r="AV197" s="203">
        <f t="shared" si="53"/>
        <v>370.5</v>
      </c>
      <c r="AW197" s="203">
        <f t="shared" si="53"/>
        <v>370.5</v>
      </c>
      <c r="AX197" s="203">
        <f t="shared" si="53"/>
        <v>370.5</v>
      </c>
      <c r="AY197" s="203">
        <f t="shared" si="53"/>
        <v>370.5</v>
      </c>
      <c r="AZ197" s="203">
        <f t="shared" si="53"/>
        <v>370.5</v>
      </c>
      <c r="BA197" s="203">
        <f t="shared" si="53"/>
        <v>370.5</v>
      </c>
      <c r="BB197" s="203">
        <f t="shared" si="53"/>
        <v>370.5</v>
      </c>
      <c r="BC197" s="203">
        <f t="shared" si="53"/>
        <v>370.5</v>
      </c>
      <c r="BD197" s="203">
        <f t="shared" si="53"/>
        <v>370.5</v>
      </c>
      <c r="BE197" s="203">
        <f t="shared" si="53"/>
        <v>370.5</v>
      </c>
      <c r="BF197" s="203">
        <f t="shared" si="53"/>
        <v>370.5</v>
      </c>
      <c r="BG197" s="203">
        <f t="shared" si="53"/>
        <v>370.5</v>
      </c>
      <c r="BH197" s="203">
        <f t="shared" si="53"/>
        <v>370.5</v>
      </c>
      <c r="BI197" s="203">
        <f t="shared" si="53"/>
        <v>370.5</v>
      </c>
      <c r="BJ197" s="203">
        <f t="shared" si="53"/>
        <v>370.5</v>
      </c>
      <c r="BK197" s="203">
        <f t="shared" si="53"/>
        <v>370.5</v>
      </c>
      <c r="BL197" s="203">
        <f t="shared" si="53"/>
        <v>370.5</v>
      </c>
      <c r="BM197" s="203">
        <f t="shared" si="53"/>
        <v>370.5</v>
      </c>
      <c r="BN197" s="203">
        <f t="shared" si="53"/>
        <v>370.5</v>
      </c>
      <c r="BO197" s="203">
        <f t="shared" si="53"/>
        <v>370.5</v>
      </c>
      <c r="BP197" s="203">
        <f t="shared" si="53"/>
        <v>370.5</v>
      </c>
      <c r="BQ197" s="203">
        <f t="shared" si="53"/>
        <v>370.5</v>
      </c>
      <c r="BR197" s="203">
        <f t="shared" si="53"/>
        <v>370.5</v>
      </c>
      <c r="BS197" s="203">
        <f t="shared" si="53"/>
        <v>370.5</v>
      </c>
      <c r="BT197" s="203">
        <f t="shared" si="53"/>
        <v>370.5</v>
      </c>
      <c r="BU197" s="203">
        <f t="shared" si="53"/>
        <v>370.5</v>
      </c>
      <c r="BV197" s="203">
        <f t="shared" si="53"/>
        <v>370.5</v>
      </c>
      <c r="BW197" s="203">
        <f aca="true" t="shared" si="54" ref="BW197:DF197">$F$183</f>
        <v>370.5</v>
      </c>
      <c r="BX197" s="203">
        <f t="shared" si="54"/>
        <v>370.5</v>
      </c>
      <c r="BY197" s="203">
        <f t="shared" si="54"/>
        <v>370.5</v>
      </c>
      <c r="BZ197" s="203">
        <f t="shared" si="54"/>
        <v>370.5</v>
      </c>
      <c r="CA197" s="203">
        <f t="shared" si="54"/>
        <v>370.5</v>
      </c>
      <c r="CB197" s="203">
        <f t="shared" si="54"/>
        <v>370.5</v>
      </c>
      <c r="CC197" s="203">
        <f t="shared" si="54"/>
        <v>370.5</v>
      </c>
      <c r="CD197" s="203">
        <f t="shared" si="54"/>
        <v>370.5</v>
      </c>
      <c r="CE197" s="203">
        <f t="shared" si="54"/>
        <v>370.5</v>
      </c>
      <c r="CF197" s="203">
        <f t="shared" si="54"/>
        <v>370.5</v>
      </c>
      <c r="CG197" s="203">
        <f t="shared" si="54"/>
        <v>370.5</v>
      </c>
      <c r="CH197" s="203">
        <f t="shared" si="54"/>
        <v>370.5</v>
      </c>
      <c r="CI197" s="203">
        <f t="shared" si="54"/>
        <v>370.5</v>
      </c>
      <c r="CJ197" s="203">
        <f t="shared" si="54"/>
        <v>370.5</v>
      </c>
      <c r="CK197" s="203">
        <f t="shared" si="54"/>
        <v>370.5</v>
      </c>
      <c r="CL197" s="203">
        <f t="shared" si="54"/>
        <v>370.5</v>
      </c>
      <c r="CM197" s="203">
        <f t="shared" si="54"/>
        <v>370.5</v>
      </c>
      <c r="CN197" s="203">
        <f t="shared" si="54"/>
        <v>370.5</v>
      </c>
      <c r="CO197" s="203">
        <f t="shared" si="54"/>
        <v>370.5</v>
      </c>
      <c r="CP197" s="203">
        <f t="shared" si="54"/>
        <v>370.5</v>
      </c>
      <c r="CQ197" s="203">
        <f t="shared" si="54"/>
        <v>370.5</v>
      </c>
      <c r="CR197" s="203">
        <f t="shared" si="54"/>
        <v>370.5</v>
      </c>
      <c r="CS197" s="203">
        <f t="shared" si="54"/>
        <v>370.5</v>
      </c>
      <c r="CT197" s="203">
        <f t="shared" si="54"/>
        <v>370.5</v>
      </c>
      <c r="CU197" s="203">
        <f t="shared" si="54"/>
        <v>370.5</v>
      </c>
      <c r="CV197" s="203">
        <f t="shared" si="54"/>
        <v>370.5</v>
      </c>
      <c r="CW197" s="203">
        <f t="shared" si="54"/>
        <v>370.5</v>
      </c>
      <c r="CX197" s="203">
        <f t="shared" si="54"/>
        <v>370.5</v>
      </c>
      <c r="CY197" s="203">
        <f t="shared" si="54"/>
        <v>370.5</v>
      </c>
      <c r="CZ197" s="203">
        <f t="shared" si="54"/>
        <v>370.5</v>
      </c>
      <c r="DA197" s="203">
        <f t="shared" si="54"/>
        <v>370.5</v>
      </c>
      <c r="DB197" s="203">
        <f t="shared" si="54"/>
        <v>370.5</v>
      </c>
      <c r="DC197" s="203">
        <f t="shared" si="54"/>
        <v>370.5</v>
      </c>
      <c r="DD197" s="203">
        <f t="shared" si="54"/>
        <v>370.5</v>
      </c>
      <c r="DE197" s="203">
        <f t="shared" si="54"/>
        <v>370.5</v>
      </c>
      <c r="DF197" s="203">
        <f t="shared" si="54"/>
        <v>370.5</v>
      </c>
    </row>
    <row r="198" spans="1:110" ht="25.5" customHeight="1">
      <c r="A198" s="269" t="s">
        <v>463</v>
      </c>
      <c r="B198" s="277"/>
      <c r="C198" s="277"/>
      <c r="D198" s="277"/>
      <c r="E198" s="277"/>
      <c r="F198" s="305">
        <f>SUM(F194:F197)</f>
        <v>255</v>
      </c>
      <c r="G198" s="306">
        <f>SUM(G194:G197)</f>
        <v>5056.220328254283</v>
      </c>
      <c r="H198" s="317"/>
      <c r="I198" s="2"/>
      <c r="J198" s="133" t="s">
        <v>347</v>
      </c>
      <c r="K198" s="203">
        <f>G191</f>
        <v>1109</v>
      </c>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row>
    <row r="199" spans="1:110" ht="38.25" customHeight="1">
      <c r="A199" s="133" t="s">
        <v>616</v>
      </c>
      <c r="B199" s="133"/>
      <c r="C199" s="133"/>
      <c r="D199" s="297"/>
      <c r="E199" s="204"/>
      <c r="F199" s="204">
        <f>'Budget w.o. Buffer'!F52</f>
        <v>106.34159798678019</v>
      </c>
      <c r="G199" s="298">
        <f>F199/'Farm and Buffer Assumptions'!$C$29</f>
        <v>2658.5399496695045</v>
      </c>
      <c r="H199" s="317"/>
      <c r="I199" s="2"/>
      <c r="J199" s="133" t="s">
        <v>461</v>
      </c>
      <c r="K199" s="203">
        <f>F195</f>
        <v>170</v>
      </c>
      <c r="L199" s="203">
        <f>$F$194+$F$195</f>
        <v>186</v>
      </c>
      <c r="M199" s="203">
        <f>$F$194+$F$195</f>
        <v>186</v>
      </c>
      <c r="N199" s="203">
        <f>$F$194+$F$195</f>
        <v>186</v>
      </c>
      <c r="O199" s="203">
        <f>$F$194+$F$195</f>
        <v>186</v>
      </c>
      <c r="P199" s="203">
        <f>SUM($F$194:$F$197)</f>
        <v>255</v>
      </c>
      <c r="Q199" s="203">
        <f>$F$194+$F$195</f>
        <v>186</v>
      </c>
      <c r="R199" s="203">
        <f>$F$194+$F$195</f>
        <v>186</v>
      </c>
      <c r="S199" s="203">
        <f>$F$194+$F$195</f>
        <v>186</v>
      </c>
      <c r="T199" s="203">
        <f>$F$194+$F$195</f>
        <v>186</v>
      </c>
      <c r="U199" s="203">
        <f>SUM($F$194:$F$197)</f>
        <v>255</v>
      </c>
      <c r="V199" s="203">
        <f>$F$194+$F$195</f>
        <v>186</v>
      </c>
      <c r="W199" s="203">
        <f>$F$194+$F$195</f>
        <v>186</v>
      </c>
      <c r="X199" s="203">
        <f>$F$194+$F$195</f>
        <v>186</v>
      </c>
      <c r="Y199" s="203">
        <f>$F$194+$F$195</f>
        <v>186</v>
      </c>
      <c r="Z199" s="203">
        <f>SUM($F$194:$F$197)</f>
        <v>255</v>
      </c>
      <c r="AA199" s="203">
        <f>$F$194+$F$195</f>
        <v>186</v>
      </c>
      <c r="AB199" s="203">
        <f>$F$194+$F$195</f>
        <v>186</v>
      </c>
      <c r="AC199" s="203">
        <f>$F$194+$F$195</f>
        <v>186</v>
      </c>
      <c r="AD199" s="203">
        <f>$F$194+$F$195</f>
        <v>186</v>
      </c>
      <c r="AE199" s="203">
        <f>SUM($F$194:$F$197)</f>
        <v>255</v>
      </c>
      <c r="AF199" s="203">
        <f>$F$194+$F$195</f>
        <v>186</v>
      </c>
      <c r="AG199" s="203">
        <f>$F$194+$F$195</f>
        <v>186</v>
      </c>
      <c r="AH199" s="203">
        <f>$F$194+$F$195</f>
        <v>186</v>
      </c>
      <c r="AI199" s="203">
        <f>$F$194+$F$195</f>
        <v>186</v>
      </c>
      <c r="AJ199" s="203">
        <f>SUM($F$194:$F$197)</f>
        <v>255</v>
      </c>
      <c r="AK199" s="203">
        <f>$F$194+$F$195</f>
        <v>186</v>
      </c>
      <c r="AL199" s="203">
        <f>$F$194+$F$195</f>
        <v>186</v>
      </c>
      <c r="AM199" s="203">
        <f>$F$194+$F$195</f>
        <v>186</v>
      </c>
      <c r="AN199" s="203">
        <f>$F$194+$F$195</f>
        <v>186</v>
      </c>
      <c r="AO199" s="203">
        <f>SUM($F$194:$F$197)</f>
        <v>255</v>
      </c>
      <c r="AP199" s="203">
        <f>$F$194+$F$195</f>
        <v>186</v>
      </c>
      <c r="AQ199" s="203">
        <f>$F$194+$F$195</f>
        <v>186</v>
      </c>
      <c r="AR199" s="203">
        <f>$F$194+$F$195</f>
        <v>186</v>
      </c>
      <c r="AS199" s="203">
        <f>$F$194+$F$195</f>
        <v>186</v>
      </c>
      <c r="AT199" s="203">
        <f>SUM($F$194:$F$197)</f>
        <v>255</v>
      </c>
      <c r="AU199" s="203">
        <f>$F$194+$F$195</f>
        <v>186</v>
      </c>
      <c r="AV199" s="203">
        <f>$F$194+$F$195</f>
        <v>186</v>
      </c>
      <c r="AW199" s="203">
        <f>$F$194+$F$195</f>
        <v>186</v>
      </c>
      <c r="AX199" s="203">
        <f>$F$194+$F$195</f>
        <v>186</v>
      </c>
      <c r="AY199" s="203">
        <f>SUM($F$194:$F$197)</f>
        <v>255</v>
      </c>
      <c r="AZ199" s="203">
        <f>$F$194+$F$195</f>
        <v>186</v>
      </c>
      <c r="BA199" s="203">
        <f>$F$194+$F$195</f>
        <v>186</v>
      </c>
      <c r="BB199" s="203">
        <f>$F$194+$F$195</f>
        <v>186</v>
      </c>
      <c r="BC199" s="203">
        <f>$F$194+$F$195</f>
        <v>186</v>
      </c>
      <c r="BD199" s="203">
        <f>SUM($F$194:$F$197)</f>
        <v>255</v>
      </c>
      <c r="BE199" s="203">
        <f>$F$194+$F$195</f>
        <v>186</v>
      </c>
      <c r="BF199" s="203">
        <f>$F$194+$F$195</f>
        <v>186</v>
      </c>
      <c r="BG199" s="203">
        <f>$F$194+$F$195</f>
        <v>186</v>
      </c>
      <c r="BH199" s="203">
        <f>$F$194+$F$195</f>
        <v>186</v>
      </c>
      <c r="BI199" s="203">
        <f>SUM($F$194:$F$197)</f>
        <v>255</v>
      </c>
      <c r="BJ199" s="203">
        <f>$F$194+$F$195</f>
        <v>186</v>
      </c>
      <c r="BK199" s="203">
        <f>$F$194+$F$195</f>
        <v>186</v>
      </c>
      <c r="BL199" s="203">
        <f>$F$194+$F$195</f>
        <v>186</v>
      </c>
      <c r="BM199" s="203">
        <f>$F$194+$F$195</f>
        <v>186</v>
      </c>
      <c r="BN199" s="203">
        <f>SUM($F$194:$F$197)</f>
        <v>255</v>
      </c>
      <c r="BO199" s="203">
        <f>$F$194+$F$195</f>
        <v>186</v>
      </c>
      <c r="BP199" s="203">
        <f>$F$194+$F$195</f>
        <v>186</v>
      </c>
      <c r="BQ199" s="203">
        <f>$F$194+$F$195</f>
        <v>186</v>
      </c>
      <c r="BR199" s="203">
        <f>$F$194+$F$195</f>
        <v>186</v>
      </c>
      <c r="BS199" s="203">
        <f>SUM($F$194:$F$197)</f>
        <v>255</v>
      </c>
      <c r="BT199" s="203">
        <f>$F$194+$F$195</f>
        <v>186</v>
      </c>
      <c r="BU199" s="203">
        <f>$F$194+$F$195</f>
        <v>186</v>
      </c>
      <c r="BV199" s="203">
        <f>$F$194+$F$195</f>
        <v>186</v>
      </c>
      <c r="BW199" s="203">
        <f>$F$194+$F$195</f>
        <v>186</v>
      </c>
      <c r="BX199" s="203">
        <f>SUM($F$194:$F$197)</f>
        <v>255</v>
      </c>
      <c r="BY199" s="203">
        <f>$F$194+$F$195</f>
        <v>186</v>
      </c>
      <c r="BZ199" s="203">
        <f>$F$194+$F$195</f>
        <v>186</v>
      </c>
      <c r="CA199" s="203">
        <f>$F$194+$F$195</f>
        <v>186</v>
      </c>
      <c r="CB199" s="203">
        <f>$F$194+$F$195</f>
        <v>186</v>
      </c>
      <c r="CC199" s="203">
        <f>SUM($F$194:$F$197)</f>
        <v>255</v>
      </c>
      <c r="CD199" s="203">
        <f>$F$194+$F$195</f>
        <v>186</v>
      </c>
      <c r="CE199" s="203">
        <f>$F$194+$F$195</f>
        <v>186</v>
      </c>
      <c r="CF199" s="203">
        <f>$F$194+$F$195</f>
        <v>186</v>
      </c>
      <c r="CG199" s="203">
        <f>$F$194+$F$195</f>
        <v>186</v>
      </c>
      <c r="CH199" s="203">
        <f>SUM($F$194:$F$197)</f>
        <v>255</v>
      </c>
      <c r="CI199" s="203">
        <f>$F$194+$F$195</f>
        <v>186</v>
      </c>
      <c r="CJ199" s="203">
        <f>$F$194+$F$195</f>
        <v>186</v>
      </c>
      <c r="CK199" s="203">
        <f>$F$194+$F$195</f>
        <v>186</v>
      </c>
      <c r="CL199" s="203">
        <f>$F$194+$F$195</f>
        <v>186</v>
      </c>
      <c r="CM199" s="203">
        <f>SUM($F$194:$F$197)</f>
        <v>255</v>
      </c>
      <c r="CN199" s="203">
        <f>$F$194+$F$195</f>
        <v>186</v>
      </c>
      <c r="CO199" s="203">
        <f>$F$194+$F$195</f>
        <v>186</v>
      </c>
      <c r="CP199" s="203">
        <f>$F$194+$F$195</f>
        <v>186</v>
      </c>
      <c r="CQ199" s="203">
        <f>$F$194+$F$195</f>
        <v>186</v>
      </c>
      <c r="CR199" s="203">
        <f>SUM($F$194:$F$197)</f>
        <v>255</v>
      </c>
      <c r="CS199" s="203">
        <f>$F$194+$F$195</f>
        <v>186</v>
      </c>
      <c r="CT199" s="203">
        <f>$F$194+$F$195</f>
        <v>186</v>
      </c>
      <c r="CU199" s="203">
        <f>$F$194+$F$195</f>
        <v>186</v>
      </c>
      <c r="CV199" s="203">
        <f>$F$194+$F$195</f>
        <v>186</v>
      </c>
      <c r="CW199" s="203">
        <f>SUM($F$194:$F$197)</f>
        <v>255</v>
      </c>
      <c r="CX199" s="203">
        <f>$F$194+$F$195</f>
        <v>186</v>
      </c>
      <c r="CY199" s="203">
        <f>$F$194+$F$195</f>
        <v>186</v>
      </c>
      <c r="CZ199" s="203">
        <f>$F$194+$F$195</f>
        <v>186</v>
      </c>
      <c r="DA199" s="203">
        <f>$F$194+$F$195</f>
        <v>186</v>
      </c>
      <c r="DB199" s="203">
        <f>SUM($F$194:$F$197)</f>
        <v>255</v>
      </c>
      <c r="DC199" s="203">
        <f>$F$194+$F$195</f>
        <v>186</v>
      </c>
      <c r="DD199" s="203">
        <f>$F$194+$F$195</f>
        <v>186</v>
      </c>
      <c r="DE199" s="203">
        <f>$F$194+$F$195</f>
        <v>186</v>
      </c>
      <c r="DF199" s="203">
        <f>$F$194+$F$195</f>
        <v>186</v>
      </c>
    </row>
    <row r="200" spans="1:110" ht="31.5" customHeight="1">
      <c r="A200" s="300" t="s">
        <v>361</v>
      </c>
      <c r="B200" s="300"/>
      <c r="C200" s="300"/>
      <c r="D200" s="309"/>
      <c r="E200" s="310"/>
      <c r="F200" s="310">
        <f>F191+F198+F199</f>
        <v>1470.3415979867802</v>
      </c>
      <c r="G200" s="311">
        <f>G191+G198+G199</f>
        <v>8823.760277923788</v>
      </c>
      <c r="H200" s="331"/>
      <c r="J200" s="344" t="s">
        <v>350</v>
      </c>
      <c r="K200" s="22">
        <f aca="true" t="shared" si="55" ref="K200:BV200">SUM(K193:K197)-SUM(K198:K199)</f>
        <v>-908.5</v>
      </c>
      <c r="L200" s="22">
        <f t="shared" si="55"/>
        <v>184.5</v>
      </c>
      <c r="M200" s="22">
        <f t="shared" si="55"/>
        <v>184.5</v>
      </c>
      <c r="N200" s="22">
        <f t="shared" si="55"/>
        <v>184.5</v>
      </c>
      <c r="O200" s="22">
        <f t="shared" si="55"/>
        <v>184.5</v>
      </c>
      <c r="P200" s="22">
        <f t="shared" si="55"/>
        <v>115.5</v>
      </c>
      <c r="Q200" s="22">
        <f t="shared" si="55"/>
        <v>184.5</v>
      </c>
      <c r="R200" s="22">
        <f t="shared" si="55"/>
        <v>184.5</v>
      </c>
      <c r="S200" s="22">
        <f t="shared" si="55"/>
        <v>184.5</v>
      </c>
      <c r="T200" s="22">
        <f t="shared" si="55"/>
        <v>184.5</v>
      </c>
      <c r="U200" s="22">
        <f t="shared" si="55"/>
        <v>115.5</v>
      </c>
      <c r="V200" s="22">
        <f t="shared" si="55"/>
        <v>184.5</v>
      </c>
      <c r="W200" s="22">
        <f t="shared" si="55"/>
        <v>184.5</v>
      </c>
      <c r="X200" s="22">
        <f t="shared" si="55"/>
        <v>184.5</v>
      </c>
      <c r="Y200" s="22">
        <f t="shared" si="55"/>
        <v>184.5</v>
      </c>
      <c r="Z200" s="22">
        <f t="shared" si="55"/>
        <v>115.5</v>
      </c>
      <c r="AA200" s="22">
        <f t="shared" si="55"/>
        <v>184.5</v>
      </c>
      <c r="AB200" s="22">
        <f t="shared" si="55"/>
        <v>184.5</v>
      </c>
      <c r="AC200" s="22">
        <f t="shared" si="55"/>
        <v>184.5</v>
      </c>
      <c r="AD200" s="22">
        <f t="shared" si="55"/>
        <v>184.5</v>
      </c>
      <c r="AE200" s="22">
        <f t="shared" si="55"/>
        <v>115.5</v>
      </c>
      <c r="AF200" s="22">
        <f t="shared" si="55"/>
        <v>184.5</v>
      </c>
      <c r="AG200" s="22">
        <f t="shared" si="55"/>
        <v>184.5</v>
      </c>
      <c r="AH200" s="22">
        <f t="shared" si="55"/>
        <v>184.5</v>
      </c>
      <c r="AI200" s="22">
        <f t="shared" si="55"/>
        <v>184.5</v>
      </c>
      <c r="AJ200" s="22">
        <f t="shared" si="55"/>
        <v>115.5</v>
      </c>
      <c r="AK200" s="22">
        <f t="shared" si="55"/>
        <v>184.5</v>
      </c>
      <c r="AL200" s="22">
        <f t="shared" si="55"/>
        <v>184.5</v>
      </c>
      <c r="AM200" s="22">
        <f t="shared" si="55"/>
        <v>184.5</v>
      </c>
      <c r="AN200" s="22">
        <f t="shared" si="55"/>
        <v>184.5</v>
      </c>
      <c r="AO200" s="22">
        <f t="shared" si="55"/>
        <v>115.5</v>
      </c>
      <c r="AP200" s="22">
        <f t="shared" si="55"/>
        <v>184.5</v>
      </c>
      <c r="AQ200" s="22">
        <f t="shared" si="55"/>
        <v>184.5</v>
      </c>
      <c r="AR200" s="22">
        <f t="shared" si="55"/>
        <v>184.5</v>
      </c>
      <c r="AS200" s="22">
        <f t="shared" si="55"/>
        <v>184.5</v>
      </c>
      <c r="AT200" s="22">
        <f t="shared" si="55"/>
        <v>115.5</v>
      </c>
      <c r="AU200" s="22">
        <f t="shared" si="55"/>
        <v>184.5</v>
      </c>
      <c r="AV200" s="22">
        <f t="shared" si="55"/>
        <v>184.5</v>
      </c>
      <c r="AW200" s="22">
        <f t="shared" si="55"/>
        <v>184.5</v>
      </c>
      <c r="AX200" s="22">
        <f t="shared" si="55"/>
        <v>184.5</v>
      </c>
      <c r="AY200" s="22">
        <f t="shared" si="55"/>
        <v>115.5</v>
      </c>
      <c r="AZ200" s="22">
        <f t="shared" si="55"/>
        <v>184.5</v>
      </c>
      <c r="BA200" s="22">
        <f t="shared" si="55"/>
        <v>184.5</v>
      </c>
      <c r="BB200" s="22">
        <f t="shared" si="55"/>
        <v>184.5</v>
      </c>
      <c r="BC200" s="22">
        <f t="shared" si="55"/>
        <v>184.5</v>
      </c>
      <c r="BD200" s="22">
        <f t="shared" si="55"/>
        <v>115.5</v>
      </c>
      <c r="BE200" s="22">
        <f t="shared" si="55"/>
        <v>184.5</v>
      </c>
      <c r="BF200" s="22">
        <f t="shared" si="55"/>
        <v>184.5</v>
      </c>
      <c r="BG200" s="22">
        <f t="shared" si="55"/>
        <v>184.5</v>
      </c>
      <c r="BH200" s="22">
        <f t="shared" si="55"/>
        <v>184.5</v>
      </c>
      <c r="BI200" s="22">
        <f t="shared" si="55"/>
        <v>115.5</v>
      </c>
      <c r="BJ200" s="22">
        <f t="shared" si="55"/>
        <v>184.5</v>
      </c>
      <c r="BK200" s="22">
        <f t="shared" si="55"/>
        <v>184.5</v>
      </c>
      <c r="BL200" s="22">
        <f t="shared" si="55"/>
        <v>184.5</v>
      </c>
      <c r="BM200" s="22">
        <f t="shared" si="55"/>
        <v>184.5</v>
      </c>
      <c r="BN200" s="22">
        <f t="shared" si="55"/>
        <v>115.5</v>
      </c>
      <c r="BO200" s="22">
        <f t="shared" si="55"/>
        <v>184.5</v>
      </c>
      <c r="BP200" s="22">
        <f t="shared" si="55"/>
        <v>184.5</v>
      </c>
      <c r="BQ200" s="22">
        <f t="shared" si="55"/>
        <v>184.5</v>
      </c>
      <c r="BR200" s="22">
        <f t="shared" si="55"/>
        <v>184.5</v>
      </c>
      <c r="BS200" s="22">
        <f t="shared" si="55"/>
        <v>115.5</v>
      </c>
      <c r="BT200" s="22">
        <f t="shared" si="55"/>
        <v>184.5</v>
      </c>
      <c r="BU200" s="22">
        <f t="shared" si="55"/>
        <v>184.5</v>
      </c>
      <c r="BV200" s="22">
        <f t="shared" si="55"/>
        <v>184.5</v>
      </c>
      <c r="BW200" s="22">
        <f aca="true" t="shared" si="56" ref="BW200:DB200">SUM(BW193:BW197)-SUM(BW198:BW199)</f>
        <v>184.5</v>
      </c>
      <c r="BX200" s="22">
        <f t="shared" si="56"/>
        <v>115.5</v>
      </c>
      <c r="BY200" s="22">
        <f t="shared" si="56"/>
        <v>184.5</v>
      </c>
      <c r="BZ200" s="22">
        <f t="shared" si="56"/>
        <v>184.5</v>
      </c>
      <c r="CA200" s="22">
        <f t="shared" si="56"/>
        <v>184.5</v>
      </c>
      <c r="CB200" s="22">
        <f t="shared" si="56"/>
        <v>184.5</v>
      </c>
      <c r="CC200" s="22">
        <f t="shared" si="56"/>
        <v>115.5</v>
      </c>
      <c r="CD200" s="22">
        <f t="shared" si="56"/>
        <v>184.5</v>
      </c>
      <c r="CE200" s="22">
        <f t="shared" si="56"/>
        <v>184.5</v>
      </c>
      <c r="CF200" s="22">
        <f t="shared" si="56"/>
        <v>184.5</v>
      </c>
      <c r="CG200" s="22">
        <f t="shared" si="56"/>
        <v>184.5</v>
      </c>
      <c r="CH200" s="22">
        <f t="shared" si="56"/>
        <v>115.5</v>
      </c>
      <c r="CI200" s="22">
        <f t="shared" si="56"/>
        <v>184.5</v>
      </c>
      <c r="CJ200" s="22">
        <f t="shared" si="56"/>
        <v>184.5</v>
      </c>
      <c r="CK200" s="22">
        <f t="shared" si="56"/>
        <v>184.5</v>
      </c>
      <c r="CL200" s="22">
        <f t="shared" si="56"/>
        <v>184.5</v>
      </c>
      <c r="CM200" s="22">
        <f t="shared" si="56"/>
        <v>115.5</v>
      </c>
      <c r="CN200" s="22">
        <f t="shared" si="56"/>
        <v>184.5</v>
      </c>
      <c r="CO200" s="22">
        <f t="shared" si="56"/>
        <v>184.5</v>
      </c>
      <c r="CP200" s="22">
        <f t="shared" si="56"/>
        <v>184.5</v>
      </c>
      <c r="CQ200" s="22">
        <f t="shared" si="56"/>
        <v>184.5</v>
      </c>
      <c r="CR200" s="22">
        <f t="shared" si="56"/>
        <v>115.5</v>
      </c>
      <c r="CS200" s="22">
        <f t="shared" si="56"/>
        <v>184.5</v>
      </c>
      <c r="CT200" s="22">
        <f t="shared" si="56"/>
        <v>184.5</v>
      </c>
      <c r="CU200" s="22">
        <f t="shared" si="56"/>
        <v>184.5</v>
      </c>
      <c r="CV200" s="22">
        <f t="shared" si="56"/>
        <v>184.5</v>
      </c>
      <c r="CW200" s="22">
        <f t="shared" si="56"/>
        <v>115.5</v>
      </c>
      <c r="CX200" s="22">
        <f t="shared" si="56"/>
        <v>184.5</v>
      </c>
      <c r="CY200" s="22">
        <f t="shared" si="56"/>
        <v>184.5</v>
      </c>
      <c r="CZ200" s="22">
        <f t="shared" si="56"/>
        <v>184.5</v>
      </c>
      <c r="DA200" s="22">
        <f t="shared" si="56"/>
        <v>184.5</v>
      </c>
      <c r="DB200" s="22">
        <f t="shared" si="56"/>
        <v>115.5</v>
      </c>
      <c r="DC200" s="22">
        <f>SUM(DC193:DC197)-SUM(DC198:DC199)</f>
        <v>184.5</v>
      </c>
      <c r="DD200" s="22">
        <f>SUM(DD193:DD197)-SUM(DD198:DD199)</f>
        <v>184.5</v>
      </c>
      <c r="DE200" s="22">
        <f>SUM(DE193:DE197)-SUM(DE198:DE199)</f>
        <v>184.5</v>
      </c>
      <c r="DF200" s="22">
        <f>SUM(DF193:DF197)-SUM(DF198:DF199)</f>
        <v>184.5</v>
      </c>
    </row>
    <row r="201" spans="1:110" ht="21.75" customHeight="1">
      <c r="A201" s="351" t="s">
        <v>363</v>
      </c>
      <c r="B201" s="351"/>
      <c r="C201" s="351"/>
      <c r="D201" s="351"/>
      <c r="E201" s="351"/>
      <c r="F201" s="352"/>
      <c r="G201" s="353">
        <f>G184-G200</f>
        <v>438.7397220762123</v>
      </c>
      <c r="H201" s="764"/>
      <c r="J201" s="322" t="s">
        <v>372</v>
      </c>
      <c r="K201" s="345"/>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row>
    <row r="202" spans="1:110" ht="25.5" customHeight="1">
      <c r="A202" s="822" t="s">
        <v>489</v>
      </c>
      <c r="B202" s="822"/>
      <c r="C202" s="822"/>
      <c r="D202" s="822"/>
      <c r="E202" s="822"/>
      <c r="F202" s="822"/>
      <c r="G202" s="822"/>
      <c r="H202" s="822"/>
      <c r="J202" s="346" t="s">
        <v>452</v>
      </c>
      <c r="K202" s="347"/>
      <c r="L202" s="348"/>
      <c r="M202" s="274" t="s">
        <v>374</v>
      </c>
      <c r="N202" s="275"/>
      <c r="O202" s="275"/>
      <c r="P202" s="299"/>
      <c r="Q202" s="275"/>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row>
    <row r="203" spans="1:110" ht="24.75" customHeight="1">
      <c r="A203" s="818" t="s">
        <v>396</v>
      </c>
      <c r="B203" s="818"/>
      <c r="C203" s="818"/>
      <c r="D203" s="818"/>
      <c r="E203" s="818"/>
      <c r="F203" s="818"/>
      <c r="G203" s="818"/>
      <c r="H203" s="818"/>
      <c r="J203" s="349" t="s">
        <v>472</v>
      </c>
      <c r="K203" s="350">
        <f>NPV('Farm and Buffer Assumptions'!C29,K200:AD200)</f>
        <v>1320.2612215094307</v>
      </c>
      <c r="L203" s="2"/>
      <c r="M203" s="282">
        <f>K193</f>
        <v>0</v>
      </c>
      <c r="N203" s="283" t="s">
        <v>338</v>
      </c>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row>
    <row r="204" spans="1:110" ht="41.25" customHeight="1">
      <c r="A204" s="818" t="s">
        <v>367</v>
      </c>
      <c r="B204" s="818"/>
      <c r="C204" s="818"/>
      <c r="D204" s="818"/>
      <c r="E204" s="818"/>
      <c r="F204" s="818"/>
      <c r="G204" s="818"/>
      <c r="H204" s="818"/>
      <c r="J204" s="349" t="s">
        <v>473</v>
      </c>
      <c r="K204" s="312">
        <f>NPV('Farm and Buffer Assumptions'!C29,K200:AN200)</f>
        <v>1948.0590792168223</v>
      </c>
      <c r="L204" s="2"/>
      <c r="M204" s="284">
        <f>NPV('Farm and Buffer Assumptions'!C29,K194:DF194)</f>
        <v>0</v>
      </c>
      <c r="N204" s="54" t="s">
        <v>464</v>
      </c>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row>
    <row r="205" spans="1:110" ht="37.5" customHeight="1">
      <c r="A205" s="818" t="s">
        <v>397</v>
      </c>
      <c r="B205" s="818"/>
      <c r="C205" s="818"/>
      <c r="D205" s="818"/>
      <c r="E205" s="818"/>
      <c r="F205" s="818"/>
      <c r="G205" s="818"/>
      <c r="H205" s="818"/>
      <c r="J205" s="349" t="s">
        <v>474</v>
      </c>
      <c r="K205" s="312">
        <f>NPV('Farm and Buffer Assumptions'!C29,K200:AX200)</f>
        <v>2372.1768171495337</v>
      </c>
      <c r="L205" s="2"/>
      <c r="M205" s="285">
        <f>NPV('Farm and Buffer Assumptions'!C29,K195:DF195)</f>
        <v>0</v>
      </c>
      <c r="N205" s="283" t="s">
        <v>342</v>
      </c>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row>
    <row r="206" spans="1:110" ht="19.5" customHeight="1">
      <c r="A206" s="818"/>
      <c r="B206" s="818"/>
      <c r="C206" s="818"/>
      <c r="D206" s="818"/>
      <c r="E206" s="818"/>
      <c r="F206" s="818"/>
      <c r="G206" s="818"/>
      <c r="H206" s="818"/>
      <c r="J206" s="349" t="s">
        <v>475</v>
      </c>
      <c r="K206" s="312">
        <f>NPV('Farm and Buffer Assumptions'!C29,K200:BH200)</f>
        <v>2658.6955642603243</v>
      </c>
      <c r="L206" s="2"/>
      <c r="M206" s="284">
        <f>K196</f>
        <v>0</v>
      </c>
      <c r="N206" s="283" t="s">
        <v>344</v>
      </c>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row>
    <row r="207" spans="1:110" ht="18.75" customHeight="1">
      <c r="A207" s="818" t="s">
        <v>483</v>
      </c>
      <c r="B207" s="818"/>
      <c r="C207" s="818"/>
      <c r="D207" s="818"/>
      <c r="E207" s="818"/>
      <c r="F207" s="818"/>
      <c r="G207" s="818"/>
      <c r="H207" s="818"/>
      <c r="J207" s="349" t="s">
        <v>476</v>
      </c>
      <c r="K207" s="312">
        <f>NPV('Farm and Buffer Assumptions'!C29,K200:BR200)</f>
        <v>2852.2573635052336</v>
      </c>
      <c r="L207" s="2"/>
      <c r="M207" s="285">
        <f>NPV('Farm and Buffer Assumptions'!C29,K197:DF197)</f>
        <v>9079.102128444802</v>
      </c>
      <c r="N207" s="288" t="s">
        <v>465</v>
      </c>
      <c r="O207" s="2"/>
      <c r="P207" s="2"/>
      <c r="Q207" s="2"/>
      <c r="R207" s="3">
        <f>SUM(M203:M207)</f>
        <v>9079.102128444802</v>
      </c>
      <c r="S207" s="3">
        <f>G184-R207</f>
        <v>183.39787155519844</v>
      </c>
      <c r="T207" s="39" t="s">
        <v>466</v>
      </c>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row>
    <row r="208" spans="8:110" ht="22.5" customHeight="1">
      <c r="H208" s="2"/>
      <c r="J208" s="349" t="s">
        <v>477</v>
      </c>
      <c r="K208" s="312">
        <f>NPV('Farm and Buffer Assumptions'!C29,K200:CB200)</f>
        <v>2983.020779528547</v>
      </c>
      <c r="L208" s="2"/>
      <c r="M208" s="287">
        <f>K198</f>
        <v>1109</v>
      </c>
      <c r="N208" s="288" t="s">
        <v>360</v>
      </c>
      <c r="O208" s="2"/>
      <c r="P208" s="2"/>
      <c r="Q208" s="2"/>
      <c r="R208" s="3">
        <f>SUM(M208:M209)</f>
        <v>5950.4005982498</v>
      </c>
      <c r="S208" s="354">
        <f>G200-R208</f>
        <v>2873.3596796739876</v>
      </c>
      <c r="T208" s="39" t="s">
        <v>467</v>
      </c>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row>
    <row r="209" spans="8:110" ht="24.75" customHeight="1">
      <c r="H209" s="2"/>
      <c r="J209" s="349" t="s">
        <v>478</v>
      </c>
      <c r="K209" s="312">
        <f>NPV('Farm and Buffer Assumptions'!C29,K200:CL200)</f>
        <v>3071.359857987159</v>
      </c>
      <c r="L209" s="2"/>
      <c r="M209" s="284">
        <f>NPV('Farm and Buffer Assumptions'!C29,K199:DF199)</f>
        <v>4841.4005982498</v>
      </c>
      <c r="N209" t="s">
        <v>468</v>
      </c>
      <c r="O209" s="2"/>
      <c r="P209" s="2"/>
      <c r="Q209" s="2"/>
      <c r="R209" s="2"/>
      <c r="S209" s="3">
        <f>S207-S208</f>
        <v>-2689.961808118789</v>
      </c>
      <c r="T209" s="39" t="s">
        <v>469</v>
      </c>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row>
    <row r="210" spans="8:110" ht="28.5" customHeight="1">
      <c r="H210" s="2"/>
      <c r="J210" s="349" t="s">
        <v>479</v>
      </c>
      <c r="K210" s="312">
        <f>NPV('Farm and Buffer Assumptions'!C29,K200:CV200)</f>
        <v>3131.0385741008877</v>
      </c>
      <c r="L210" s="2"/>
      <c r="M210" s="333">
        <f>SUM(M203:M207)-SUM(M208:M209)</f>
        <v>3128.7015301950014</v>
      </c>
      <c r="N210" t="s">
        <v>364</v>
      </c>
      <c r="O210" s="2"/>
      <c r="P210" s="2"/>
      <c r="Q210" s="2"/>
      <c r="R210" s="2"/>
      <c r="S210" s="345">
        <f>G201-M210</f>
        <v>-2689.961808118789</v>
      </c>
      <c r="T210" s="39" t="s">
        <v>470</v>
      </c>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row>
    <row r="211" spans="8:110" ht="15.75">
      <c r="H211" s="2"/>
      <c r="J211" s="349" t="s">
        <v>480</v>
      </c>
      <c r="K211" s="312">
        <f>NPV('Farm and Buffer Assumptions'!C29,K200:DF200)</f>
        <v>3171.3553763488503</v>
      </c>
      <c r="L211" s="2"/>
      <c r="O211" s="2"/>
      <c r="P211" s="2"/>
      <c r="Q211" s="2"/>
      <c r="R211" s="2"/>
      <c r="S211" s="2"/>
      <c r="T211" s="39" t="s">
        <v>471</v>
      </c>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row>
    <row r="212" spans="8:110" ht="12.75">
      <c r="H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row>
    <row r="213" spans="8:110" ht="12.75">
      <c r="H213" s="2"/>
      <c r="J213" t="s">
        <v>366</v>
      </c>
      <c r="K213" s="294">
        <f>K211-G201</f>
        <v>2732.615654272638</v>
      </c>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row>
    <row r="214" spans="10:110" ht="12.75">
      <c r="J214" s="2"/>
      <c r="K214" s="2"/>
      <c r="L214" s="2"/>
      <c r="M214" s="2"/>
      <c r="N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row>
    <row r="215" ht="12.75">
      <c r="M215" s="2"/>
    </row>
  </sheetData>
  <mergeCells count="34">
    <mergeCell ref="A204:H204"/>
    <mergeCell ref="A171:H171"/>
    <mergeCell ref="A172:H172"/>
    <mergeCell ref="A173:H173"/>
    <mergeCell ref="A174:H174"/>
    <mergeCell ref="A175:H175"/>
    <mergeCell ref="A137:H137"/>
    <mergeCell ref="A138:H138"/>
    <mergeCell ref="A202:H202"/>
    <mergeCell ref="A203:H203"/>
    <mergeCell ref="A21:H21"/>
    <mergeCell ref="A22:H22"/>
    <mergeCell ref="A23:H23"/>
    <mergeCell ref="A24:H24"/>
    <mergeCell ref="A205:H205"/>
    <mergeCell ref="A105:H105"/>
    <mergeCell ref="A77:H77"/>
    <mergeCell ref="A106:H106"/>
    <mergeCell ref="A107:H107"/>
    <mergeCell ref="A108:H108"/>
    <mergeCell ref="A109:H109"/>
    <mergeCell ref="A134:H134"/>
    <mergeCell ref="A135:H135"/>
    <mergeCell ref="A136:H136"/>
    <mergeCell ref="A46:H46"/>
    <mergeCell ref="A206:H206"/>
    <mergeCell ref="A207:H207"/>
    <mergeCell ref="A78:E78"/>
    <mergeCell ref="A80:E80"/>
    <mergeCell ref="A79:H79"/>
    <mergeCell ref="A81:H81"/>
    <mergeCell ref="A47:H47"/>
    <mergeCell ref="A48:H48"/>
    <mergeCell ref="A49:H49"/>
  </mergeCells>
  <printOptions headings="1" verticalCentered="1"/>
  <pageMargins left="0.5" right="0.5" top="0.5" bottom="0.5" header="0.5" footer="0.5"/>
  <pageSetup fitToHeight="1" fitToWidth="1" horizontalDpi="300" verticalDpi="300" orientation="landscape" scale="74" r:id="rId4"/>
  <headerFooter alignWithMargins="0">
    <oddHeader>&amp;LFile Name: &amp;F, Sheet Name: &amp;A&amp;R&amp;D, &amp;T</oddHeader>
    <oddFooter>&amp;RPrepared by:
Carolyn Henri
Resource Consulting</oddFooter>
  </headerFooter>
  <rowBreaks count="5" manualBreakCount="5">
    <brk id="25" max="7" man="1"/>
    <brk id="50" max="7" man="1"/>
    <brk id="81" max="7" man="1"/>
    <brk id="110" max="7" man="1"/>
    <brk id="139" max="7" man="1"/>
  </rowBreaks>
  <colBreaks count="1" manualBreakCount="1">
    <brk id="9" min="190" max="22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Resource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J. Henri</dc:creator>
  <cp:keywords/>
  <dc:description/>
  <cp:lastModifiedBy> </cp:lastModifiedBy>
  <cp:lastPrinted>2003-12-17T22:21:35Z</cp:lastPrinted>
  <dcterms:created xsi:type="dcterms:W3CDTF">2003-08-21T17:30:43Z</dcterms:created>
  <dcterms:modified xsi:type="dcterms:W3CDTF">2004-04-08T17:55:30Z</dcterms:modified>
  <cp:category/>
  <cp:version/>
  <cp:contentType/>
  <cp:contentStatus/>
</cp:coreProperties>
</file>